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3B8AFD61-998E-49F0-A0F8-35C80A5139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te" sheetId="2" r:id="rId1"/>
    <sheet name="Notes" sheetId="3" state="hidden" r:id="rId2"/>
  </sheets>
  <definedNames>
    <definedName name="_xlnm._FilterDatabase" localSheetId="0" hidden="1">State!$A$6:$L$6</definedName>
    <definedName name="_xlnm.Print_Area" localSheetId="0">State!$A$7:$K$87</definedName>
    <definedName name="_xlnm.Print_Titles" localSheetId="0">State!$1:$6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2" l="1"/>
  <c r="I7" i="2"/>
  <c r="F7" i="2" l="1"/>
  <c r="D9" i="2"/>
  <c r="D8" i="2"/>
  <c r="D84" i="2" l="1"/>
  <c r="D86" i="2" s="1"/>
  <c r="E49" i="2" l="1"/>
  <c r="E47" i="2"/>
  <c r="E46" i="2"/>
  <c r="E45" i="2"/>
  <c r="E44" i="2"/>
  <c r="E43" i="2"/>
  <c r="E42" i="2"/>
  <c r="E41" i="2"/>
  <c r="E40" i="2"/>
  <c r="E37" i="2"/>
  <c r="E14" i="2"/>
  <c r="E12" i="2"/>
  <c r="E9" i="2"/>
  <c r="F16" i="2"/>
  <c r="E16" i="2"/>
  <c r="G16" i="2" s="1"/>
  <c r="F41" i="2"/>
  <c r="F39" i="2"/>
  <c r="E39" i="2"/>
  <c r="G39" i="2" s="1"/>
  <c r="F80" i="2"/>
  <c r="F78" i="2"/>
  <c r="E80" i="2"/>
  <c r="E78" i="2"/>
  <c r="G78" i="2" s="1"/>
  <c r="G41" i="2" l="1"/>
  <c r="G80" i="2"/>
  <c r="E7" i="2" l="1"/>
  <c r="F11" i="2"/>
  <c r="F12" i="2"/>
  <c r="F13" i="2"/>
  <c r="F1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40" i="2"/>
  <c r="F42" i="2"/>
  <c r="F43" i="2"/>
  <c r="F44" i="2"/>
  <c r="F45" i="2"/>
  <c r="F46" i="2"/>
  <c r="F47" i="2"/>
  <c r="F48" i="2"/>
  <c r="F49" i="2"/>
  <c r="F50" i="2"/>
  <c r="F51" i="2"/>
  <c r="F52" i="2"/>
  <c r="F53" i="2"/>
  <c r="F55" i="2"/>
  <c r="F56" i="2"/>
  <c r="F57" i="2"/>
  <c r="F58" i="2"/>
  <c r="F61" i="2"/>
  <c r="F65" i="2"/>
  <c r="F72" i="2"/>
  <c r="F76" i="2"/>
  <c r="F77" i="2"/>
  <c r="F81" i="2"/>
  <c r="G7" i="2" l="1"/>
  <c r="F79" i="2"/>
  <c r="F75" i="2"/>
  <c r="F70" i="2"/>
  <c r="F67" i="2"/>
  <c r="F66" i="2"/>
  <c r="F62" i="2"/>
  <c r="E13" i="2"/>
  <c r="E15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8" i="2"/>
  <c r="E48" i="2"/>
  <c r="E50" i="2"/>
  <c r="E51" i="2"/>
  <c r="E52" i="2"/>
  <c r="E53" i="2"/>
  <c r="E55" i="2"/>
  <c r="E56" i="2"/>
  <c r="E57" i="2"/>
  <c r="E58" i="2"/>
  <c r="E61" i="2"/>
  <c r="E65" i="2"/>
  <c r="E72" i="2"/>
  <c r="E75" i="2"/>
  <c r="E76" i="2"/>
  <c r="E77" i="2"/>
  <c r="E79" i="2"/>
  <c r="E81" i="2"/>
  <c r="E11" i="2"/>
  <c r="F10" i="2"/>
  <c r="E70" i="2" l="1"/>
  <c r="E67" i="2"/>
  <c r="E62" i="2"/>
  <c r="E64" i="2"/>
  <c r="F64" i="2"/>
  <c r="E69" i="2"/>
  <c r="F69" i="2"/>
  <c r="E68" i="2"/>
  <c r="F68" i="2"/>
  <c r="E71" i="2"/>
  <c r="F71" i="2"/>
  <c r="E66" i="2"/>
  <c r="E73" i="2"/>
  <c r="F73" i="2"/>
  <c r="E54" i="2"/>
  <c r="F54" i="2"/>
  <c r="E59" i="2"/>
  <c r="F59" i="2"/>
  <c r="E74" i="2"/>
  <c r="F74" i="2"/>
  <c r="E63" i="2"/>
  <c r="F63" i="2"/>
  <c r="F9" i="2"/>
  <c r="E60" i="2"/>
  <c r="F60" i="2"/>
  <c r="F14" i="2"/>
  <c r="E10" i="2"/>
  <c r="G12" i="2"/>
  <c r="F8" i="2" l="1"/>
  <c r="E8" i="2"/>
  <c r="E84" i="2" s="1"/>
  <c r="E86" i="2" s="1"/>
  <c r="G79" i="2"/>
  <c r="I39" i="2" l="1"/>
  <c r="I16" i="2"/>
  <c r="I41" i="2"/>
  <c r="I78" i="2"/>
  <c r="I80" i="2"/>
  <c r="F84" i="2"/>
  <c r="F86" i="2" l="1"/>
  <c r="F4" i="2"/>
  <c r="G3" i="2" s="1"/>
  <c r="G2" i="2" l="1"/>
  <c r="K16" i="2" l="1"/>
  <c r="K41" i="2"/>
  <c r="K39" i="2"/>
  <c r="K80" i="2"/>
  <c r="K78" i="2"/>
  <c r="G4" i="2"/>
  <c r="G17" i="2"/>
  <c r="I9" i="2" l="1"/>
  <c r="K9" i="2" s="1"/>
  <c r="I12" i="2"/>
  <c r="K12" i="2" s="1"/>
  <c r="I79" i="2"/>
  <c r="K79" i="2" s="1"/>
  <c r="I14" i="2"/>
  <c r="K14" i="2" s="1"/>
  <c r="I19" i="2"/>
  <c r="K19" i="2" s="1"/>
  <c r="I22" i="2"/>
  <c r="K22" i="2" s="1"/>
  <c r="I26" i="2"/>
  <c r="K26" i="2" s="1"/>
  <c r="I30" i="2"/>
  <c r="K30" i="2" s="1"/>
  <c r="I34" i="2"/>
  <c r="K34" i="2" s="1"/>
  <c r="I38" i="2"/>
  <c r="K38" i="2" s="1"/>
  <c r="I44" i="2"/>
  <c r="K44" i="2" s="1"/>
  <c r="I48" i="2"/>
  <c r="K48" i="2" s="1"/>
  <c r="I52" i="2"/>
  <c r="K52" i="2" s="1"/>
  <c r="I58" i="2"/>
  <c r="K58" i="2" s="1"/>
  <c r="I62" i="2"/>
  <c r="K62" i="2" s="1"/>
  <c r="I65" i="2"/>
  <c r="K65" i="2" s="1"/>
  <c r="I69" i="2"/>
  <c r="K69" i="2" s="1"/>
  <c r="I73" i="2"/>
  <c r="K73" i="2" s="1"/>
  <c r="I77" i="2"/>
  <c r="K77" i="2" s="1"/>
  <c r="I20" i="2"/>
  <c r="K20" i="2" s="1"/>
  <c r="I28" i="2"/>
  <c r="K28" i="2" s="1"/>
  <c r="I36" i="2"/>
  <c r="K36" i="2" s="1"/>
  <c r="I46" i="2"/>
  <c r="K46" i="2" s="1"/>
  <c r="I54" i="2"/>
  <c r="K54" i="2" s="1"/>
  <c r="I60" i="2"/>
  <c r="K60" i="2" s="1"/>
  <c r="I67" i="2"/>
  <c r="K67" i="2" s="1"/>
  <c r="I75" i="2"/>
  <c r="K75" i="2" s="1"/>
  <c r="I13" i="2"/>
  <c r="K13" i="2" s="1"/>
  <c r="I21" i="2"/>
  <c r="K21" i="2" s="1"/>
  <c r="I29" i="2"/>
  <c r="K29" i="2" s="1"/>
  <c r="I37" i="2"/>
  <c r="K37" i="2" s="1"/>
  <c r="I47" i="2"/>
  <c r="K47" i="2" s="1"/>
  <c r="I55" i="2"/>
  <c r="K55" i="2" s="1"/>
  <c r="I61" i="2"/>
  <c r="K61" i="2" s="1"/>
  <c r="I68" i="2"/>
  <c r="K68" i="2" s="1"/>
  <c r="I8" i="2"/>
  <c r="K8" i="2" s="1"/>
  <c r="I10" i="2"/>
  <c r="K10" i="2" s="1"/>
  <c r="I15" i="2"/>
  <c r="K15" i="2" s="1"/>
  <c r="I23" i="2"/>
  <c r="K23" i="2" s="1"/>
  <c r="I27" i="2"/>
  <c r="K27" i="2" s="1"/>
  <c r="I31" i="2"/>
  <c r="K31" i="2" s="1"/>
  <c r="I35" i="2"/>
  <c r="K35" i="2" s="1"/>
  <c r="I40" i="2"/>
  <c r="K40" i="2" s="1"/>
  <c r="I45" i="2"/>
  <c r="K45" i="2" s="1"/>
  <c r="I49" i="2"/>
  <c r="K49" i="2" s="1"/>
  <c r="I53" i="2"/>
  <c r="K53" i="2" s="1"/>
  <c r="I59" i="2"/>
  <c r="K59" i="2" s="1"/>
  <c r="I63" i="2"/>
  <c r="K63" i="2" s="1"/>
  <c r="I66" i="2"/>
  <c r="K66" i="2" s="1"/>
  <c r="I70" i="2"/>
  <c r="K70" i="2" s="1"/>
  <c r="I74" i="2"/>
  <c r="K74" i="2" s="1"/>
  <c r="I81" i="2"/>
  <c r="K81" i="2" s="1"/>
  <c r="I17" i="2"/>
  <c r="K17" i="2" s="1"/>
  <c r="I24" i="2"/>
  <c r="K24" i="2" s="1"/>
  <c r="I32" i="2"/>
  <c r="K32" i="2" s="1"/>
  <c r="I42" i="2"/>
  <c r="K42" i="2" s="1"/>
  <c r="I50" i="2"/>
  <c r="K50" i="2" s="1"/>
  <c r="I56" i="2"/>
  <c r="K56" i="2" s="1"/>
  <c r="I64" i="2"/>
  <c r="K64" i="2" s="1"/>
  <c r="I71" i="2"/>
  <c r="K71" i="2" s="1"/>
  <c r="I18" i="2"/>
  <c r="K18" i="2" s="1"/>
  <c r="I25" i="2"/>
  <c r="K25" i="2" s="1"/>
  <c r="I33" i="2"/>
  <c r="K33" i="2" s="1"/>
  <c r="I43" i="2"/>
  <c r="K43" i="2" s="1"/>
  <c r="I51" i="2"/>
  <c r="K51" i="2" s="1"/>
  <c r="I57" i="2"/>
  <c r="K57" i="2" s="1"/>
  <c r="I72" i="2"/>
  <c r="K72" i="2" s="1"/>
  <c r="I76" i="2"/>
  <c r="K76" i="2" s="1"/>
  <c r="I11" i="2"/>
  <c r="K11" i="2" s="1"/>
  <c r="G9" i="2"/>
  <c r="K84" i="2" l="1"/>
  <c r="L84" i="2" s="1"/>
  <c r="G10" i="2"/>
  <c r="G8" i="2"/>
  <c r="G15" i="2"/>
  <c r="G20" i="2"/>
  <c r="G24" i="2"/>
  <c r="G28" i="2"/>
  <c r="G32" i="2"/>
  <c r="G36" i="2"/>
  <c r="G42" i="2"/>
  <c r="G46" i="2"/>
  <c r="G50" i="2"/>
  <c r="G54" i="2"/>
  <c r="G56" i="2"/>
  <c r="G60" i="2"/>
  <c r="G64" i="2"/>
  <c r="G67" i="2"/>
  <c r="G71" i="2"/>
  <c r="G75" i="2"/>
  <c r="G11" i="2"/>
  <c r="G18" i="2"/>
  <c r="G21" i="2"/>
  <c r="G25" i="2"/>
  <c r="G29" i="2"/>
  <c r="G33" i="2"/>
  <c r="G37" i="2"/>
  <c r="G43" i="2"/>
  <c r="G47" i="2"/>
  <c r="G51" i="2"/>
  <c r="G55" i="2"/>
  <c r="G57" i="2"/>
  <c r="G61" i="2"/>
  <c r="G68" i="2"/>
  <c r="G72" i="2"/>
  <c r="G76" i="2"/>
  <c r="G13" i="2"/>
  <c r="G19" i="2"/>
  <c r="G22" i="2"/>
  <c r="G26" i="2"/>
  <c r="G30" i="2"/>
  <c r="G34" i="2"/>
  <c r="G38" i="2"/>
  <c r="G44" i="2"/>
  <c r="G48" i="2"/>
  <c r="G52" i="2"/>
  <c r="G58" i="2"/>
  <c r="G62" i="2"/>
  <c r="G65" i="2"/>
  <c r="G69" i="2"/>
  <c r="G73" i="2"/>
  <c r="G77" i="2"/>
  <c r="G14" i="2"/>
  <c r="G23" i="2"/>
  <c r="G27" i="2"/>
  <c r="G31" i="2"/>
  <c r="G35" i="2"/>
  <c r="G40" i="2"/>
  <c r="G45" i="2"/>
  <c r="G49" i="2"/>
  <c r="G53" i="2"/>
  <c r="G59" i="2"/>
  <c r="G63" i="2"/>
  <c r="G66" i="2"/>
  <c r="G70" i="2"/>
  <c r="G74" i="2"/>
  <c r="G81" i="2"/>
  <c r="G84" i="2" l="1"/>
  <c r="G86" i="2" s="1"/>
  <c r="I84" i="2"/>
</calcChain>
</file>

<file path=xl/sharedStrings.xml><?xml version="1.0" encoding="utf-8"?>
<sst xmlns="http://schemas.openxmlformats.org/spreadsheetml/2006/main" count="180" uniqueCount="150">
  <si>
    <t>Paid/FTE</t>
  </si>
  <si>
    <t>Invoice #</t>
  </si>
  <si>
    <t>Employer Name</t>
  </si>
  <si>
    <t>Division of Capitol Police</t>
  </si>
  <si>
    <t>Virginia State Lottery</t>
  </si>
  <si>
    <t>University Of Virginia - Academic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</si>
  <si>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</si>
  <si>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</si>
  <si>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</si>
  <si>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</si>
  <si>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</si>
  <si>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</si>
  <si>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</si>
  <si>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Old Dominion University</t>
  </si>
  <si>
    <t>Virginia Commonwealth University - Academic</t>
  </si>
  <si>
    <t>Richard Bland College</t>
  </si>
  <si>
    <t>Christopher Newport University</t>
  </si>
  <si>
    <t>University of Virginia College At Wise</t>
  </si>
  <si>
    <t>George Mason University</t>
  </si>
  <si>
    <t>Northern Virginia Community College</t>
  </si>
  <si>
    <t>J. Sargeant Reynolds Community College</t>
  </si>
  <si>
    <t>Virginia Western Community College</t>
  </si>
  <si>
    <t>Central Virginia Community College</t>
  </si>
  <si>
    <t>Southwest Virginia Community College</t>
  </si>
  <si>
    <t>Marine Resources Commission</t>
  </si>
  <si>
    <t>Alcoholic Beverage Control Board</t>
  </si>
  <si>
    <t xml:space="preserve"> </t>
  </si>
  <si>
    <t>Finance Division</t>
  </si>
  <si>
    <t>Virginia Retirement System</t>
  </si>
  <si>
    <t>Analysis of Line of Duty Contributions Required and Paid - State Agencies</t>
  </si>
  <si>
    <t>Virginia Highlands Community College</t>
  </si>
  <si>
    <t>Employer Code</t>
  </si>
  <si>
    <t>Germanna Community College</t>
  </si>
  <si>
    <t>Mountain Empire Community College</t>
  </si>
  <si>
    <t>Piedmont Virginia Community College</t>
  </si>
  <si>
    <t>Proof</t>
  </si>
  <si>
    <t>Net Underpayment</t>
  </si>
  <si>
    <t>State</t>
  </si>
  <si>
    <t>Total</t>
  </si>
  <si>
    <t>Political Subs.</t>
  </si>
  <si>
    <t>LODA Totals</t>
  </si>
  <si>
    <t>Virginia Port Authority</t>
  </si>
  <si>
    <t>70716 - Correctional Center For Women</t>
  </si>
  <si>
    <t>70718 - Bland Correctional Center</t>
  </si>
  <si>
    <t>70735 - Wallen Ridge Correctional Center</t>
  </si>
  <si>
    <t>70737 - St. Brides Correctional Center</t>
  </si>
  <si>
    <t>70741 - Red Onion State Prison</t>
  </si>
  <si>
    <t>70745 - Nottoway Correctional Center</t>
  </si>
  <si>
    <t>70747 - Marion Correctional Treatment Center</t>
  </si>
  <si>
    <t>70749 - Buckingham Correctional Center</t>
  </si>
  <si>
    <t>70752 - Deep Meadow Correctional Center</t>
  </si>
  <si>
    <t>70753 - Deerfield Correctional Center</t>
  </si>
  <si>
    <t>70756 - Adult Regional Office</t>
  </si>
  <si>
    <t>70757 - Department of Corrections</t>
  </si>
  <si>
    <t>70761 - Eastern Reg Corr Field Unit</t>
  </si>
  <si>
    <t>70767 - Adult Community Service</t>
  </si>
  <si>
    <t>70768 - Keen Mountain Correctional Center</t>
  </si>
  <si>
    <t>70769 - Greensville Correctional Center</t>
  </si>
  <si>
    <t>70770 - Dillwyn Correctional Center</t>
  </si>
  <si>
    <t>70771 - Indian Creek Correctional Center</t>
  </si>
  <si>
    <t>70772 - Haynesville Correctional Center</t>
  </si>
  <si>
    <t>70773 - Coffeewood Correctional Center</t>
  </si>
  <si>
    <t>70774 - Lunenburg Correctional Center</t>
  </si>
  <si>
    <t>70775 - Pocahontas State Correctional Center</t>
  </si>
  <si>
    <t>70776 - Green Rock Correctional Center</t>
  </si>
  <si>
    <t>70785 - Grayson County Correctional Center</t>
  </si>
  <si>
    <t xml:space="preserve">Rates </t>
  </si>
  <si>
    <t xml:space="preserve">Full Time </t>
  </si>
  <si>
    <t>Notes</t>
  </si>
  <si>
    <t>The full funding rate ($1298.79) will be used for fiscal years 2021 and 2022.</t>
  </si>
  <si>
    <t>Column K: The total percentage should equal the state percentage in Column G, Row 2.</t>
  </si>
  <si>
    <t>Column D: Include Full-Time and Part-Time.</t>
  </si>
  <si>
    <t xml:space="preserve">The Proof line, will need to use LODA master file. </t>
  </si>
  <si>
    <t xml:space="preserve">George Mason ER 70247 normally has one volunteer. Include in Column D @ 25% </t>
  </si>
  <si>
    <t>Virginia Peninsula Community College</t>
  </si>
  <si>
    <t>Laurel Ridge Community College</t>
  </si>
  <si>
    <t>Department of Wildlife Resources</t>
  </si>
  <si>
    <t>70779 - Sussex State Prison Complex</t>
  </si>
  <si>
    <t>Office of the Attorney General</t>
  </si>
  <si>
    <t>Proportionate Share of 2025 State Employer Contributions</t>
  </si>
  <si>
    <t>Proportionate Share of 2025 Total Plan Contributions</t>
  </si>
  <si>
    <t>Pay-as-you go Rate for FTE $1015.00</t>
  </si>
  <si>
    <t>Actuarially Determined Employer Contribution Rate (ADEC) $2017.33</t>
  </si>
  <si>
    <t>70743 - Fluvanna Womens' Correctional Center</t>
  </si>
  <si>
    <t>70777 - Department of Juvenile Justice</t>
  </si>
  <si>
    <t>70784 - Lawrenceville Correctional Center</t>
  </si>
  <si>
    <t>FTI0000886</t>
  </si>
  <si>
    <t>FTI0000887</t>
  </si>
  <si>
    <t>FTI0000888</t>
  </si>
  <si>
    <t>FTI0000889</t>
  </si>
  <si>
    <t>FTI0000890</t>
  </si>
  <si>
    <t>FTI0000844</t>
  </si>
  <si>
    <t>FTI0000845</t>
  </si>
  <si>
    <t>FTI0000846</t>
  </si>
  <si>
    <t>FTI0000847</t>
  </si>
  <si>
    <t>FTI0000849</t>
  </si>
  <si>
    <t>FTI0000850</t>
  </si>
  <si>
    <t>FTI0000851</t>
  </si>
  <si>
    <t>FTI0000852</t>
  </si>
  <si>
    <t>FTI0000848</t>
  </si>
  <si>
    <t>FTI0000853</t>
  </si>
  <si>
    <t>State Police Troopers (SPORS)</t>
  </si>
  <si>
    <t>Air National Guard</t>
  </si>
  <si>
    <t>Army National Guard</t>
  </si>
  <si>
    <t>Fort Pickett Fire &amp; Rescue</t>
  </si>
  <si>
    <t xml:space="preserve">Dept. of Emergency Management </t>
  </si>
  <si>
    <t xml:space="preserve">Dept. of Motor Vehicles </t>
  </si>
  <si>
    <t>Dept. of Conservation &amp; Recreation</t>
  </si>
  <si>
    <t>VA School of the Death &amp; Blind</t>
  </si>
  <si>
    <t>Dept. of Forestry</t>
  </si>
  <si>
    <t>Department of State Police</t>
  </si>
  <si>
    <t>College of William and Mary</t>
  </si>
  <si>
    <t>Virginia Polytechnic Institute &amp; State University- Academic</t>
  </si>
  <si>
    <t>Patrick &amp; Henry Community College</t>
  </si>
  <si>
    <t>Wytheville Community College</t>
  </si>
  <si>
    <t xml:space="preserve">Blue Ridge Community College </t>
  </si>
  <si>
    <t>FTI0000854</t>
  </si>
  <si>
    <t>FTI0000856</t>
  </si>
  <si>
    <t>FTI0000857</t>
  </si>
  <si>
    <t>FTI0000858</t>
  </si>
  <si>
    <t>FTI0000859</t>
  </si>
  <si>
    <t>FTI0000860</t>
  </si>
  <si>
    <t>FTI0000861</t>
  </si>
  <si>
    <t>FTI0000862</t>
  </si>
  <si>
    <t>FTI0000863</t>
  </si>
  <si>
    <t>FTI0000864</t>
  </si>
  <si>
    <t>FTI0000865</t>
  </si>
  <si>
    <t>FTI0000866</t>
  </si>
  <si>
    <t>FTI0000867</t>
  </si>
  <si>
    <t>FTI0000868</t>
  </si>
  <si>
    <t>FTI0000869</t>
  </si>
  <si>
    <t>FTI0000870</t>
  </si>
  <si>
    <t>FTI0000871</t>
  </si>
  <si>
    <t>FTI0000872</t>
  </si>
  <si>
    <t>FTI0000873</t>
  </si>
  <si>
    <t>FTI0000874</t>
  </si>
  <si>
    <t>FTI0000789</t>
  </si>
  <si>
    <t>FTI0000875</t>
  </si>
  <si>
    <t>FTI0000791</t>
  </si>
  <si>
    <t>FTI0000876</t>
  </si>
  <si>
    <t>FTI0000877</t>
  </si>
  <si>
    <t>FTI0000878</t>
  </si>
  <si>
    <t>FTI0000879</t>
  </si>
  <si>
    <t>FTI0000880</t>
  </si>
  <si>
    <t>FTI0000881</t>
  </si>
  <si>
    <t>FTI0000882</t>
  </si>
  <si>
    <t>FTI0000883</t>
  </si>
  <si>
    <t>FTI0000884</t>
  </si>
  <si>
    <t>FTI0000885</t>
  </si>
  <si>
    <t>for the Fiscal Year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</si>
</sst>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43" fontId="3" fillId="0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1" applyFont="1"/>
    <xf numFmtId="43" fontId="0" fillId="0" borderId="0" xfId="1" applyFont="1" applyFill="1"/>
    <xf numFmtId="43" fontId="2" fillId="0" borderId="2" xfId="1" applyFont="1" applyBorder="1"/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0" applyNumberFormat="1"/>
    <xf numFmtId="43" fontId="2" fillId="0" borderId="3" xfId="1" applyFont="1" applyBorder="1" applyAlignment="1">
      <alignment horizontal="center"/>
    </xf>
    <xf numFmtId="165" fontId="0" fillId="0" borderId="0" xfId="2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165" fontId="2" fillId="0" borderId="2" xfId="0" applyNumberFormat="1" applyFont="1" applyBorder="1"/>
    <xf numFmtId="165" fontId="5" fillId="0" borderId="0" xfId="2" applyNumberFormat="1" applyFont="1" applyAlignment="1">
      <alignment horizontal="center"/>
    </xf>
    <xf numFmtId="165" fontId="5" fillId="0" borderId="2" xfId="2" applyNumberFormat="1" applyFont="1" applyBorder="1" applyAlignment="1">
      <alignment horizontal="center"/>
    </xf>
    <xf numFmtId="43" fontId="5" fillId="0" borderId="0" xfId="1" applyFont="1" applyAlignment="1">
      <alignment horizontal="center"/>
    </xf>
    <xf numFmtId="43" fontId="5" fillId="0" borderId="2" xfId="1" applyFont="1" applyBorder="1" applyAlignment="1">
      <alignment horizontal="center"/>
    </xf>
    <xf numFmtId="43" fontId="3" fillId="0" borderId="0" xfId="1" applyFont="1" applyFill="1" applyBorder="1" applyAlignment="1">
      <alignment horizontal="center" vertical="center" wrapText="1"/>
    </xf>
    <xf numFmtId="165" fontId="0" fillId="0" borderId="0" xfId="2" applyNumberFormat="1" applyFont="1" applyBorder="1"/>
    <xf numFmtId="165" fontId="2" fillId="0" borderId="0" xfId="0" applyNumberFormat="1" applyFont="1"/>
    <xf numFmtId="43" fontId="6" fillId="0" borderId="0" xfId="1" applyFont="1" applyAlignment="1"/>
    <xf numFmtId="0" fontId="6" fillId="0" borderId="0" xfId="0" applyFont="1" applyAlignment="1">
      <alignment vertical="center" wrapText="1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/>
    <xf numFmtId="43" fontId="2" fillId="0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2" fillId="0" borderId="2" xfId="1" applyFont="1" applyFill="1" applyBorder="1"/>
    <xf numFmtId="4" fontId="0" fillId="0" borderId="0" xfId="0" applyNumberFormat="1"/>
    <xf numFmtId="4" fontId="0" fillId="0" borderId="0" xfId="1" applyNumberFormat="1" applyFont="1" applyFill="1"/>
    <xf numFmtId="4" fontId="2" fillId="0" borderId="2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5" fontId="0" fillId="0" borderId="0" xfId="2" applyNumberFormat="1" applyFont="1" applyFill="1" applyBorder="1"/>
    <xf numFmtId="165" fontId="0" fillId="0" borderId="0" xfId="2" applyNumberFormat="1" applyFont="1" applyFill="1"/>
    <xf numFmtId="0" fontId="0" fillId="0" borderId="0" xfId="0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8"/>
  <sheetViews>
    <sheetView tabSelected="1" zoomScaleNormal="100" workbookViewId="0">
      <selection activeCell="A3" sqref="A3"/>
    </sheetView>
  </sheetViews>
  <sheetFormatPr defaultRowHeight="14.4" x14ac:dyDescent="0.3"/>
  <cols>
    <col min="2" max="2" width="21.88671875" style="3" bestFit="1" customWidth="1"/>
    <col min="3" max="3" width="54.5546875" bestFit="1" customWidth="1"/>
    <col min="4" max="4" width="10.5546875" style="25" bestFit="1" customWidth="1"/>
    <col min="5" max="5" width="14.109375" style="4" bestFit="1" customWidth="1"/>
    <col min="6" max="6" width="15.33203125" style="4" bestFit="1" customWidth="1"/>
    <col min="7" max="7" width="15.33203125" bestFit="1" customWidth="1"/>
    <col min="8" max="8" width="2.6640625" customWidth="1"/>
    <col min="9" max="9" width="13.88671875" customWidth="1"/>
    <col min="10" max="10" width="2.6640625" customWidth="1"/>
    <col min="11" max="11" width="13.88671875" customWidth="1"/>
    <col min="12" max="12" width="9.88671875" bestFit="1" customWidth="1"/>
  </cols>
  <sheetData>
    <row r="1" spans="1:11" ht="15.6" x14ac:dyDescent="0.3">
      <c r="A1" s="7" t="s">
        <v>28</v>
      </c>
      <c r="D1" s="24"/>
      <c r="E1" s="2"/>
      <c r="F1" s="10" t="s">
        <v>40</v>
      </c>
    </row>
    <row r="2" spans="1:11" ht="15.6" x14ac:dyDescent="0.3">
      <c r="A2" s="7" t="s">
        <v>27</v>
      </c>
      <c r="D2" s="24"/>
      <c r="E2" s="22" t="s">
        <v>37</v>
      </c>
      <c r="F2" s="17">
        <v>10975601</v>
      </c>
      <c r="G2" s="15">
        <f>ROUND(F2/F4,7)</f>
        <v>0.57863880000000001</v>
      </c>
    </row>
    <row r="3" spans="1:11" ht="15.6" x14ac:dyDescent="0.3">
      <c r="A3" s="7" t="s">
        <v>29</v>
      </c>
      <c r="D3" s="24"/>
      <c r="E3" s="23" t="s">
        <v>39</v>
      </c>
      <c r="F3" s="17">
        <v>7992363.75</v>
      </c>
      <c r="G3" s="15">
        <f>ROUND(F3/F4,7)</f>
        <v>0.42136119999999999</v>
      </c>
    </row>
    <row r="4" spans="1:11" ht="16.2" thickBot="1" x14ac:dyDescent="0.35">
      <c r="A4" s="7" t="s">
        <v>149</v>
      </c>
      <c r="D4" s="24"/>
      <c r="E4" s="22" t="s">
        <v>38</v>
      </c>
      <c r="F4" s="18">
        <f>SUM(F2:F3)</f>
        <v>18967964.75</v>
      </c>
      <c r="G4" s="16">
        <f>SUM(G2:G3)</f>
        <v>1</v>
      </c>
    </row>
    <row r="5" spans="1:11" ht="15" thickTop="1" x14ac:dyDescent="0.3"/>
    <row r="6" spans="1:11" ht="60" x14ac:dyDescent="0.3">
      <c r="A6" s="27" t="s">
        <v>31</v>
      </c>
      <c r="B6" s="28" t="s">
        <v>1</v>
      </c>
      <c r="C6" s="28" t="s">
        <v>2</v>
      </c>
      <c r="D6" s="29" t="s">
        <v>0</v>
      </c>
      <c r="E6" s="1" t="s">
        <v>81</v>
      </c>
      <c r="F6" s="1" t="s">
        <v>82</v>
      </c>
      <c r="G6" s="1" t="s">
        <v>36</v>
      </c>
      <c r="H6" s="19"/>
      <c r="I6" s="1" t="s">
        <v>79</v>
      </c>
      <c r="J6" s="19"/>
      <c r="K6" s="1" t="s">
        <v>80</v>
      </c>
    </row>
    <row r="7" spans="1:11" x14ac:dyDescent="0.3">
      <c r="A7" s="8">
        <v>21156</v>
      </c>
      <c r="B7" s="8" t="s">
        <v>91</v>
      </c>
      <c r="C7" t="s">
        <v>101</v>
      </c>
      <c r="D7" s="32">
        <v>1830</v>
      </c>
      <c r="E7" s="5">
        <f t="shared" ref="E7:E12" si="0">D7*1015</f>
        <v>1857450</v>
      </c>
      <c r="F7" s="5">
        <f>D7*2017.33</f>
        <v>3691713.9</v>
      </c>
      <c r="G7" s="9">
        <f>+E7-F7</f>
        <v>-1834263.9</v>
      </c>
      <c r="H7" s="20"/>
      <c r="I7" s="11">
        <f>ROUND(E7/$E$84,7)+0.0000003</f>
        <v>0.16923480000000002</v>
      </c>
      <c r="J7" s="20"/>
      <c r="K7" s="11">
        <f>ROUND(I7*$G$2,7)+0.0000004</f>
        <v>9.7926199999999991E-2</v>
      </c>
    </row>
    <row r="8" spans="1:11" x14ac:dyDescent="0.3">
      <c r="A8" s="8">
        <v>30123</v>
      </c>
      <c r="B8" s="8" t="s">
        <v>92</v>
      </c>
      <c r="C8" t="s">
        <v>102</v>
      </c>
      <c r="D8" s="32">
        <f>286+(936*0.1)</f>
        <v>379.6</v>
      </c>
      <c r="E8" s="5">
        <f t="shared" si="0"/>
        <v>385294</v>
      </c>
      <c r="F8" s="5">
        <f t="shared" ref="F8:F70" si="1">D8*2017.33</f>
        <v>765778.46799999999</v>
      </c>
      <c r="G8" s="9">
        <f t="shared" ref="G8:G72" si="2">+E8-F8</f>
        <v>-380484.46799999999</v>
      </c>
      <c r="H8" s="20"/>
      <c r="I8" s="11">
        <f t="shared" ref="I8:I41" si="3">ROUND(E8/$E$84,7)</f>
        <v>3.51046E-2</v>
      </c>
      <c r="J8" s="20"/>
      <c r="K8" s="11">
        <f>ROUND(I8*$G$2,7)</f>
        <v>2.0312899999999998E-2</v>
      </c>
    </row>
    <row r="9" spans="1:11" x14ac:dyDescent="0.3">
      <c r="A9" s="8">
        <v>30123</v>
      </c>
      <c r="B9" s="8" t="s">
        <v>93</v>
      </c>
      <c r="C9" t="s">
        <v>103</v>
      </c>
      <c r="D9" s="32">
        <f>740+(6128*0.1)</f>
        <v>1352.8000000000002</v>
      </c>
      <c r="E9" s="5">
        <f t="shared" si="0"/>
        <v>1373092.0000000002</v>
      </c>
      <c r="F9" s="5">
        <f t="shared" si="1"/>
        <v>2729044.0240000002</v>
      </c>
      <c r="G9" s="9">
        <f t="shared" si="2"/>
        <v>-1355952.024</v>
      </c>
      <c r="H9" s="20"/>
      <c r="I9" s="11">
        <f t="shared" si="3"/>
        <v>0.12510399999999999</v>
      </c>
      <c r="J9" s="20"/>
      <c r="K9" s="11">
        <f>ROUND(I9*$G$2,7)</f>
        <v>7.2389999999999996E-2</v>
      </c>
    </row>
    <row r="10" spans="1:11" x14ac:dyDescent="0.3">
      <c r="A10" s="8">
        <v>30123</v>
      </c>
      <c r="B10" s="8" t="s">
        <v>94</v>
      </c>
      <c r="C10" t="s">
        <v>104</v>
      </c>
      <c r="D10" s="32">
        <v>24</v>
      </c>
      <c r="E10" s="5">
        <f t="shared" si="0"/>
        <v>24360</v>
      </c>
      <c r="F10" s="5">
        <f t="shared" si="1"/>
        <v>48415.92</v>
      </c>
      <c r="G10" s="9">
        <f t="shared" si="2"/>
        <v>-24055.919999999998</v>
      </c>
      <c r="H10" s="20"/>
      <c r="I10" s="11">
        <f t="shared" si="3"/>
        <v>2.2195000000000001E-3</v>
      </c>
      <c r="J10" s="20"/>
      <c r="K10" s="11">
        <f>ROUND(I10*$G$2,7)</f>
        <v>1.2842999999999999E-3</v>
      </c>
    </row>
    <row r="11" spans="1:11" x14ac:dyDescent="0.3">
      <c r="A11" s="8">
        <v>30127</v>
      </c>
      <c r="B11" s="8" t="s">
        <v>95</v>
      </c>
      <c r="C11" t="s">
        <v>105</v>
      </c>
      <c r="D11" s="32">
        <v>10</v>
      </c>
      <c r="E11" s="5">
        <f t="shared" si="0"/>
        <v>10150</v>
      </c>
      <c r="F11" s="5">
        <f t="shared" si="1"/>
        <v>20173.3</v>
      </c>
      <c r="G11" s="9">
        <f t="shared" si="2"/>
        <v>-10023.299999999999</v>
      </c>
      <c r="H11" s="20"/>
      <c r="I11" s="11">
        <f t="shared" si="3"/>
        <v>9.2480000000000004E-4</v>
      </c>
      <c r="J11" s="20"/>
      <c r="K11" s="11">
        <f t="shared" ref="K11:K71" si="4">ROUND(I11*$G$2,7)</f>
        <v>5.3510000000000005E-4</v>
      </c>
    </row>
    <row r="12" spans="1:11" x14ac:dyDescent="0.3">
      <c r="A12" s="8">
        <v>30141</v>
      </c>
      <c r="B12" s="8" t="s">
        <v>89</v>
      </c>
      <c r="C12" t="s">
        <v>78</v>
      </c>
      <c r="D12" s="32">
        <v>7</v>
      </c>
      <c r="E12" s="5">
        <f t="shared" si="0"/>
        <v>7105</v>
      </c>
      <c r="F12" s="5">
        <f t="shared" si="1"/>
        <v>14121.31</v>
      </c>
      <c r="G12" s="9">
        <f t="shared" si="2"/>
        <v>-7016.3099999999995</v>
      </c>
      <c r="H12" s="20"/>
      <c r="I12" s="11">
        <f t="shared" si="3"/>
        <v>6.4729999999999996E-4</v>
      </c>
      <c r="J12" s="20"/>
      <c r="K12" s="11">
        <f>ROUND(I12*$G$2,7)</f>
        <v>3.746E-4</v>
      </c>
    </row>
    <row r="13" spans="1:11" x14ac:dyDescent="0.3">
      <c r="A13" s="8">
        <v>30154</v>
      </c>
      <c r="B13" s="8" t="s">
        <v>96</v>
      </c>
      <c r="C13" t="s">
        <v>106</v>
      </c>
      <c r="D13" s="32">
        <v>56</v>
      </c>
      <c r="E13" s="5">
        <f t="shared" ref="E13:E74" si="5">D13*1015</f>
        <v>56840</v>
      </c>
      <c r="F13" s="5">
        <f t="shared" si="1"/>
        <v>112970.48</v>
      </c>
      <c r="G13" s="9">
        <f t="shared" si="2"/>
        <v>-56130.479999999996</v>
      </c>
      <c r="H13" s="20"/>
      <c r="I13" s="11">
        <f t="shared" si="3"/>
        <v>5.1787999999999999E-3</v>
      </c>
      <c r="J13" s="20"/>
      <c r="K13" s="11">
        <f t="shared" si="4"/>
        <v>2.9967000000000001E-3</v>
      </c>
    </row>
    <row r="14" spans="1:11" x14ac:dyDescent="0.3">
      <c r="A14" s="8">
        <v>30172</v>
      </c>
      <c r="B14" s="8" t="s">
        <v>97</v>
      </c>
      <c r="C14" t="s">
        <v>4</v>
      </c>
      <c r="D14" s="32">
        <v>9</v>
      </c>
      <c r="E14" s="5">
        <f>D14*1015</f>
        <v>9135</v>
      </c>
      <c r="F14" s="5">
        <f t="shared" si="1"/>
        <v>18155.97</v>
      </c>
      <c r="G14" s="9">
        <f t="shared" si="2"/>
        <v>-9020.9700000000012</v>
      </c>
      <c r="H14" s="20"/>
      <c r="I14" s="11">
        <f t="shared" si="3"/>
        <v>8.3230000000000001E-4</v>
      </c>
      <c r="J14" s="20"/>
      <c r="K14" s="11">
        <f t="shared" si="4"/>
        <v>4.816E-4</v>
      </c>
    </row>
    <row r="15" spans="1:11" x14ac:dyDescent="0.3">
      <c r="A15" s="8">
        <v>30199</v>
      </c>
      <c r="B15" s="8" t="s">
        <v>98</v>
      </c>
      <c r="C15" t="s">
        <v>107</v>
      </c>
      <c r="D15" s="32">
        <v>87</v>
      </c>
      <c r="E15" s="5">
        <f t="shared" si="5"/>
        <v>88305</v>
      </c>
      <c r="F15" s="5">
        <f t="shared" si="1"/>
        <v>175507.71</v>
      </c>
      <c r="G15" s="9">
        <f t="shared" si="2"/>
        <v>-87202.709999999992</v>
      </c>
      <c r="H15" s="20"/>
      <c r="I15" s="11">
        <f t="shared" si="3"/>
        <v>8.0456E-3</v>
      </c>
      <c r="J15" s="20"/>
      <c r="K15" s="11">
        <f t="shared" si="4"/>
        <v>4.6554999999999999E-3</v>
      </c>
    </row>
    <row r="16" spans="1:11" x14ac:dyDescent="0.3">
      <c r="A16" s="8">
        <v>30218</v>
      </c>
      <c r="B16" s="8" t="s">
        <v>90</v>
      </c>
      <c r="C16" t="s">
        <v>108</v>
      </c>
      <c r="D16" s="32">
        <v>3</v>
      </c>
      <c r="E16" s="5">
        <f t="shared" si="5"/>
        <v>3045</v>
      </c>
      <c r="F16" s="5">
        <f t="shared" si="1"/>
        <v>6051.99</v>
      </c>
      <c r="G16" s="9">
        <f t="shared" si="2"/>
        <v>-3006.99</v>
      </c>
      <c r="H16" s="20"/>
      <c r="I16" s="11">
        <f t="shared" si="3"/>
        <v>2.7740000000000002E-4</v>
      </c>
      <c r="J16" s="20"/>
      <c r="K16" s="11">
        <f t="shared" si="4"/>
        <v>1.605E-4</v>
      </c>
    </row>
    <row r="17" spans="1:11" x14ac:dyDescent="0.3">
      <c r="A17" s="8">
        <v>30407</v>
      </c>
      <c r="B17" s="8" t="s">
        <v>99</v>
      </c>
      <c r="C17" t="s">
        <v>41</v>
      </c>
      <c r="D17" s="33">
        <v>37</v>
      </c>
      <c r="E17" s="5">
        <f t="shared" si="5"/>
        <v>37555</v>
      </c>
      <c r="F17" s="5">
        <f t="shared" si="1"/>
        <v>74641.209999999992</v>
      </c>
      <c r="G17" s="9">
        <f t="shared" ref="G17" si="6">+E17-F17</f>
        <v>-37086.209999999992</v>
      </c>
      <c r="H17" s="20"/>
      <c r="I17" s="11">
        <f t="shared" si="3"/>
        <v>3.4217000000000002E-3</v>
      </c>
      <c r="J17" s="20"/>
      <c r="K17" s="11">
        <f t="shared" si="4"/>
        <v>1.9799000000000001E-3</v>
      </c>
    </row>
    <row r="18" spans="1:11" x14ac:dyDescent="0.3">
      <c r="A18" s="8">
        <v>30411</v>
      </c>
      <c r="B18" s="8" t="s">
        <v>100</v>
      </c>
      <c r="C18" t="s">
        <v>109</v>
      </c>
      <c r="D18" s="33">
        <v>498</v>
      </c>
      <c r="E18" s="5">
        <f t="shared" si="5"/>
        <v>505470</v>
      </c>
      <c r="F18" s="5">
        <f t="shared" si="1"/>
        <v>1004630.34</v>
      </c>
      <c r="G18" s="9">
        <f t="shared" si="2"/>
        <v>-499160.33999999997</v>
      </c>
      <c r="H18" s="20"/>
      <c r="I18" s="11">
        <f t="shared" si="3"/>
        <v>4.6053999999999998E-2</v>
      </c>
      <c r="J18" s="20"/>
      <c r="K18" s="11">
        <f t="shared" si="4"/>
        <v>2.6648600000000001E-2</v>
      </c>
    </row>
    <row r="19" spans="1:11" x14ac:dyDescent="0.3">
      <c r="A19" s="8">
        <v>70156</v>
      </c>
      <c r="B19" s="8" t="s">
        <v>116</v>
      </c>
      <c r="C19" t="s">
        <v>110</v>
      </c>
      <c r="D19" s="32">
        <v>1</v>
      </c>
      <c r="E19" s="5">
        <f t="shared" si="5"/>
        <v>1015</v>
      </c>
      <c r="F19" s="5">
        <f t="shared" si="1"/>
        <v>2017.33</v>
      </c>
      <c r="G19" s="9">
        <f t="shared" si="2"/>
        <v>-1002.3299999999999</v>
      </c>
      <c r="H19" s="20"/>
      <c r="I19" s="11">
        <f t="shared" si="3"/>
        <v>9.2499999999999999E-5</v>
      </c>
      <c r="J19" s="20"/>
      <c r="K19" s="11">
        <f t="shared" si="4"/>
        <v>5.3499999999999999E-5</v>
      </c>
    </row>
    <row r="20" spans="1:11" x14ac:dyDescent="0.3">
      <c r="A20" s="8">
        <v>70204</v>
      </c>
      <c r="B20" s="8" t="s">
        <v>117</v>
      </c>
      <c r="C20" t="s">
        <v>111</v>
      </c>
      <c r="D20" s="32">
        <v>24</v>
      </c>
      <c r="E20" s="5">
        <f t="shared" si="5"/>
        <v>24360</v>
      </c>
      <c r="F20" s="5">
        <f t="shared" si="1"/>
        <v>48415.92</v>
      </c>
      <c r="G20" s="9">
        <f t="shared" si="2"/>
        <v>-24055.919999999998</v>
      </c>
      <c r="H20" s="20"/>
      <c r="I20" s="11">
        <f t="shared" si="3"/>
        <v>2.2195000000000001E-3</v>
      </c>
      <c r="J20" s="20"/>
      <c r="K20" s="11">
        <f t="shared" si="4"/>
        <v>1.2842999999999999E-3</v>
      </c>
    </row>
    <row r="21" spans="1:11" x14ac:dyDescent="0.3">
      <c r="A21" s="8">
        <v>70207</v>
      </c>
      <c r="B21" s="8" t="s">
        <v>118</v>
      </c>
      <c r="C21" t="s">
        <v>5</v>
      </c>
      <c r="D21" s="32">
        <v>71</v>
      </c>
      <c r="E21" s="5">
        <f t="shared" si="5"/>
        <v>72065</v>
      </c>
      <c r="F21" s="5">
        <f t="shared" si="1"/>
        <v>143230.43</v>
      </c>
      <c r="G21" s="9">
        <f t="shared" si="2"/>
        <v>-71165.429999999993</v>
      </c>
      <c r="H21" s="20"/>
      <c r="I21" s="11">
        <f t="shared" si="3"/>
        <v>6.5659000000000004E-3</v>
      </c>
      <c r="J21" s="20"/>
      <c r="K21" s="11">
        <f t="shared" si="4"/>
        <v>3.7992999999999998E-3</v>
      </c>
    </row>
    <row r="22" spans="1:11" x14ac:dyDescent="0.3">
      <c r="A22" s="8">
        <v>70208</v>
      </c>
      <c r="B22" s="8" t="s">
        <v>119</v>
      </c>
      <c r="C22" t="s">
        <v>112</v>
      </c>
      <c r="D22" s="32">
        <v>52</v>
      </c>
      <c r="E22" s="5">
        <f t="shared" si="5"/>
        <v>52780</v>
      </c>
      <c r="F22" s="5">
        <f t="shared" si="1"/>
        <v>104901.16</v>
      </c>
      <c r="G22" s="9">
        <f t="shared" si="2"/>
        <v>-52121.16</v>
      </c>
      <c r="H22" s="20"/>
      <c r="I22" s="11">
        <f t="shared" si="3"/>
        <v>4.8088000000000002E-3</v>
      </c>
      <c r="J22" s="20"/>
      <c r="K22" s="11">
        <f t="shared" si="4"/>
        <v>2.7826000000000001E-3</v>
      </c>
    </row>
    <row r="23" spans="1:11" x14ac:dyDescent="0.3">
      <c r="A23" s="8">
        <v>70211</v>
      </c>
      <c r="B23" s="8" t="s">
        <v>120</v>
      </c>
      <c r="C23" t="s">
        <v>6</v>
      </c>
      <c r="D23" s="32">
        <v>11</v>
      </c>
      <c r="E23" s="5">
        <f t="shared" si="5"/>
        <v>11165</v>
      </c>
      <c r="F23" s="5">
        <f t="shared" si="1"/>
        <v>22190.629999999997</v>
      </c>
      <c r="G23" s="9">
        <f t="shared" si="2"/>
        <v>-11025.629999999997</v>
      </c>
      <c r="H23" s="20"/>
      <c r="I23" s="11">
        <f t="shared" si="3"/>
        <v>1.0173000000000001E-3</v>
      </c>
      <c r="J23" s="20"/>
      <c r="K23" s="11">
        <f t="shared" si="4"/>
        <v>5.886E-4</v>
      </c>
    </row>
    <row r="24" spans="1:11" x14ac:dyDescent="0.3">
      <c r="A24" s="8">
        <v>70212</v>
      </c>
      <c r="B24" s="8" t="s">
        <v>121</v>
      </c>
      <c r="C24" t="s">
        <v>7</v>
      </c>
      <c r="D24" s="32">
        <v>30</v>
      </c>
      <c r="E24" s="5">
        <f t="shared" si="5"/>
        <v>30450</v>
      </c>
      <c r="F24" s="5">
        <f t="shared" si="1"/>
        <v>60519.899999999994</v>
      </c>
      <c r="G24" s="9">
        <f t="shared" si="2"/>
        <v>-30069.899999999994</v>
      </c>
      <c r="H24" s="20"/>
      <c r="I24" s="11">
        <f t="shared" si="3"/>
        <v>2.7742999999999999E-3</v>
      </c>
      <c r="J24" s="20"/>
      <c r="K24" s="11">
        <f t="shared" si="4"/>
        <v>1.6053E-3</v>
      </c>
    </row>
    <row r="25" spans="1:11" x14ac:dyDescent="0.3">
      <c r="A25" s="8">
        <v>70213</v>
      </c>
      <c r="B25" s="8" t="s">
        <v>122</v>
      </c>
      <c r="C25" t="s">
        <v>8</v>
      </c>
      <c r="D25" s="32">
        <v>23</v>
      </c>
      <c r="E25" s="5">
        <f t="shared" si="5"/>
        <v>23345</v>
      </c>
      <c r="F25" s="5">
        <f t="shared" si="1"/>
        <v>46398.59</v>
      </c>
      <c r="G25" s="9">
        <f t="shared" si="2"/>
        <v>-23053.589999999997</v>
      </c>
      <c r="H25" s="20"/>
      <c r="I25" s="11">
        <f t="shared" si="3"/>
        <v>2.127E-3</v>
      </c>
      <c r="J25" s="20"/>
      <c r="K25" s="11">
        <f t="shared" si="4"/>
        <v>1.2308E-3</v>
      </c>
    </row>
    <row r="26" spans="1:11" x14ac:dyDescent="0.3">
      <c r="A26" s="8">
        <v>70214</v>
      </c>
      <c r="B26" s="8" t="s">
        <v>123</v>
      </c>
      <c r="C26" t="s">
        <v>9</v>
      </c>
      <c r="D26" s="32">
        <v>14</v>
      </c>
      <c r="E26" s="5">
        <f t="shared" si="5"/>
        <v>14210</v>
      </c>
      <c r="F26" s="5">
        <f t="shared" si="1"/>
        <v>28242.62</v>
      </c>
      <c r="G26" s="9">
        <f t="shared" si="2"/>
        <v>-14032.619999999999</v>
      </c>
      <c r="H26" s="20"/>
      <c r="I26" s="11">
        <f t="shared" si="3"/>
        <v>1.2947E-3</v>
      </c>
      <c r="J26" s="20"/>
      <c r="K26" s="11">
        <f t="shared" si="4"/>
        <v>7.492E-4</v>
      </c>
    </row>
    <row r="27" spans="1:11" x14ac:dyDescent="0.3">
      <c r="A27" s="8">
        <v>70215</v>
      </c>
      <c r="B27" s="8" t="s">
        <v>124</v>
      </c>
      <c r="C27" t="s">
        <v>10</v>
      </c>
      <c r="D27" s="32">
        <v>14</v>
      </c>
      <c r="E27" s="5">
        <f t="shared" si="5"/>
        <v>14210</v>
      </c>
      <c r="F27" s="5">
        <f t="shared" si="1"/>
        <v>28242.62</v>
      </c>
      <c r="G27" s="9">
        <f t="shared" si="2"/>
        <v>-14032.619999999999</v>
      </c>
      <c r="H27" s="20"/>
      <c r="I27" s="11">
        <f t="shared" si="3"/>
        <v>1.2947E-3</v>
      </c>
      <c r="J27" s="20"/>
      <c r="K27" s="11">
        <f t="shared" si="4"/>
        <v>7.492E-4</v>
      </c>
    </row>
    <row r="28" spans="1:11" x14ac:dyDescent="0.3">
      <c r="A28" s="8">
        <v>70216</v>
      </c>
      <c r="B28" s="8" t="s">
        <v>125</v>
      </c>
      <c r="C28" t="s">
        <v>11</v>
      </c>
      <c r="D28" s="32">
        <v>44</v>
      </c>
      <c r="E28" s="5">
        <f t="shared" si="5"/>
        <v>44660</v>
      </c>
      <c r="F28" s="5">
        <f t="shared" si="1"/>
        <v>88762.51999999999</v>
      </c>
      <c r="G28" s="9">
        <f t="shared" si="2"/>
        <v>-44102.51999999999</v>
      </c>
      <c r="H28" s="20"/>
      <c r="I28" s="11">
        <f t="shared" si="3"/>
        <v>4.0689999999999997E-3</v>
      </c>
      <c r="J28" s="20"/>
      <c r="K28" s="11">
        <f t="shared" si="4"/>
        <v>2.3544999999999998E-3</v>
      </c>
    </row>
    <row r="29" spans="1:11" x14ac:dyDescent="0.3">
      <c r="A29" s="8">
        <v>70217</v>
      </c>
      <c r="B29" s="8" t="s">
        <v>126</v>
      </c>
      <c r="C29" t="s">
        <v>12</v>
      </c>
      <c r="D29" s="32">
        <v>13</v>
      </c>
      <c r="E29" s="5">
        <f t="shared" si="5"/>
        <v>13195</v>
      </c>
      <c r="F29" s="5">
        <f t="shared" si="1"/>
        <v>26225.29</v>
      </c>
      <c r="G29" s="9">
        <f t="shared" si="2"/>
        <v>-13030.29</v>
      </c>
      <c r="H29" s="20"/>
      <c r="I29" s="11">
        <f t="shared" si="3"/>
        <v>1.2022000000000001E-3</v>
      </c>
      <c r="J29" s="20"/>
      <c r="K29" s="11">
        <f t="shared" si="4"/>
        <v>6.9559999999999999E-4</v>
      </c>
    </row>
    <row r="30" spans="1:11" x14ac:dyDescent="0.3">
      <c r="A30" s="8">
        <v>70221</v>
      </c>
      <c r="B30" s="8" t="s">
        <v>127</v>
      </c>
      <c r="C30" t="s">
        <v>13</v>
      </c>
      <c r="D30" s="32">
        <v>55</v>
      </c>
      <c r="E30" s="5">
        <f t="shared" si="5"/>
        <v>55825</v>
      </c>
      <c r="F30" s="5">
        <f t="shared" si="1"/>
        <v>110953.15</v>
      </c>
      <c r="G30" s="9">
        <f t="shared" si="2"/>
        <v>-55128.149999999994</v>
      </c>
      <c r="H30" s="20"/>
      <c r="I30" s="11">
        <f t="shared" si="3"/>
        <v>5.0863000000000002E-3</v>
      </c>
      <c r="J30" s="20"/>
      <c r="K30" s="11">
        <f t="shared" si="4"/>
        <v>2.9431000000000001E-3</v>
      </c>
    </row>
    <row r="31" spans="1:11" x14ac:dyDescent="0.3">
      <c r="A31" s="8">
        <v>70236</v>
      </c>
      <c r="B31" s="8" t="s">
        <v>128</v>
      </c>
      <c r="C31" t="s">
        <v>14</v>
      </c>
      <c r="D31" s="32">
        <v>90</v>
      </c>
      <c r="E31" s="5">
        <f t="shared" si="5"/>
        <v>91350</v>
      </c>
      <c r="F31" s="5">
        <f t="shared" si="1"/>
        <v>181559.69999999998</v>
      </c>
      <c r="G31" s="9">
        <f t="shared" si="2"/>
        <v>-90209.699999999983</v>
      </c>
      <c r="H31" s="20"/>
      <c r="I31" s="11">
        <f t="shared" si="3"/>
        <v>8.3230000000000005E-3</v>
      </c>
      <c r="J31" s="20"/>
      <c r="K31" s="11">
        <f t="shared" si="4"/>
        <v>4.816E-3</v>
      </c>
    </row>
    <row r="32" spans="1:11" x14ac:dyDescent="0.3">
      <c r="A32" s="8">
        <v>70241</v>
      </c>
      <c r="B32" s="8" t="s">
        <v>129</v>
      </c>
      <c r="C32" t="s">
        <v>15</v>
      </c>
      <c r="D32" s="32">
        <v>22</v>
      </c>
      <c r="E32" s="5">
        <f t="shared" si="5"/>
        <v>22330</v>
      </c>
      <c r="F32" s="5">
        <f t="shared" si="1"/>
        <v>44381.259999999995</v>
      </c>
      <c r="G32" s="9">
        <f t="shared" si="2"/>
        <v>-22051.259999999995</v>
      </c>
      <c r="H32" s="20"/>
      <c r="I32" s="11">
        <f t="shared" si="3"/>
        <v>2.0344999999999999E-3</v>
      </c>
      <c r="J32" s="20"/>
      <c r="K32" s="11">
        <f t="shared" si="4"/>
        <v>1.1772E-3</v>
      </c>
    </row>
    <row r="33" spans="1:11" x14ac:dyDescent="0.3">
      <c r="A33" s="8">
        <v>70242</v>
      </c>
      <c r="B33" s="8" t="s">
        <v>130</v>
      </c>
      <c r="C33" t="s">
        <v>16</v>
      </c>
      <c r="D33" s="32">
        <v>21</v>
      </c>
      <c r="E33" s="5">
        <f t="shared" si="5"/>
        <v>21315</v>
      </c>
      <c r="F33" s="5">
        <f t="shared" si="1"/>
        <v>42363.93</v>
      </c>
      <c r="G33" s="9">
        <f t="shared" si="2"/>
        <v>-21048.93</v>
      </c>
      <c r="H33" s="20"/>
      <c r="I33" s="11">
        <f t="shared" si="3"/>
        <v>1.9419999999999999E-3</v>
      </c>
      <c r="J33" s="20"/>
      <c r="K33" s="11">
        <f t="shared" si="4"/>
        <v>1.1237E-3</v>
      </c>
    </row>
    <row r="34" spans="1:11" x14ac:dyDescent="0.3">
      <c r="A34" s="8">
        <v>70246</v>
      </c>
      <c r="B34" s="8" t="s">
        <v>131</v>
      </c>
      <c r="C34" t="s">
        <v>17</v>
      </c>
      <c r="D34" s="32">
        <v>9</v>
      </c>
      <c r="E34" s="5">
        <f t="shared" si="5"/>
        <v>9135</v>
      </c>
      <c r="F34" s="5">
        <f t="shared" si="1"/>
        <v>18155.97</v>
      </c>
      <c r="G34" s="9">
        <f t="shared" si="2"/>
        <v>-9020.9700000000012</v>
      </c>
      <c r="H34" s="20"/>
      <c r="I34" s="11">
        <f t="shared" si="3"/>
        <v>8.3230000000000001E-4</v>
      </c>
      <c r="J34" s="20"/>
      <c r="K34" s="11">
        <f t="shared" si="4"/>
        <v>4.816E-4</v>
      </c>
    </row>
    <row r="35" spans="1:11" x14ac:dyDescent="0.3">
      <c r="A35" s="8">
        <v>70247</v>
      </c>
      <c r="B35" s="8" t="s">
        <v>132</v>
      </c>
      <c r="C35" t="s">
        <v>18</v>
      </c>
      <c r="D35" s="32">
        <v>39</v>
      </c>
      <c r="E35" s="5">
        <f t="shared" si="5"/>
        <v>39585</v>
      </c>
      <c r="F35" s="5">
        <f t="shared" si="1"/>
        <v>78675.87</v>
      </c>
      <c r="G35" s="9">
        <f t="shared" si="2"/>
        <v>-39090.869999999995</v>
      </c>
      <c r="H35" s="36"/>
      <c r="I35" s="37">
        <f t="shared" si="3"/>
        <v>3.6066000000000002E-3</v>
      </c>
      <c r="J35" s="36"/>
      <c r="K35" s="37">
        <f t="shared" si="4"/>
        <v>2.0869E-3</v>
      </c>
    </row>
    <row r="36" spans="1:11" x14ac:dyDescent="0.3">
      <c r="A36" s="8">
        <v>70280</v>
      </c>
      <c r="B36" s="8" t="s">
        <v>133</v>
      </c>
      <c r="C36" t="s">
        <v>19</v>
      </c>
      <c r="D36" s="32">
        <v>41</v>
      </c>
      <c r="E36" s="5">
        <f t="shared" si="5"/>
        <v>41615</v>
      </c>
      <c r="F36" s="5">
        <f t="shared" si="1"/>
        <v>82710.53</v>
      </c>
      <c r="G36" s="9">
        <f t="shared" si="2"/>
        <v>-41095.53</v>
      </c>
      <c r="H36" s="20"/>
      <c r="I36" s="11">
        <f t="shared" si="3"/>
        <v>3.7916E-3</v>
      </c>
      <c r="J36" s="20"/>
      <c r="K36" s="11">
        <f t="shared" si="4"/>
        <v>2.1940000000000002E-3</v>
      </c>
    </row>
    <row r="37" spans="1:11" x14ac:dyDescent="0.3">
      <c r="A37" s="8">
        <v>70282</v>
      </c>
      <c r="B37" s="8" t="s">
        <v>134</v>
      </c>
      <c r="C37" t="s">
        <v>34</v>
      </c>
      <c r="D37" s="32">
        <v>4</v>
      </c>
      <c r="E37" s="5">
        <f>D37*1015</f>
        <v>4060</v>
      </c>
      <c r="F37" s="5">
        <f t="shared" si="1"/>
        <v>8069.32</v>
      </c>
      <c r="G37" s="9">
        <f t="shared" si="2"/>
        <v>-4009.3199999999997</v>
      </c>
      <c r="H37" s="20"/>
      <c r="I37" s="11">
        <f t="shared" si="3"/>
        <v>3.6989999999999999E-4</v>
      </c>
      <c r="J37" s="20"/>
      <c r="K37" s="11">
        <f t="shared" si="4"/>
        <v>2.14E-4</v>
      </c>
    </row>
    <row r="38" spans="1:11" x14ac:dyDescent="0.3">
      <c r="A38" s="8">
        <v>70283</v>
      </c>
      <c r="B38" s="8" t="s">
        <v>135</v>
      </c>
      <c r="C38" t="s">
        <v>20</v>
      </c>
      <c r="D38" s="32">
        <v>8</v>
      </c>
      <c r="E38" s="5">
        <f t="shared" si="5"/>
        <v>8120</v>
      </c>
      <c r="F38" s="5">
        <f t="shared" si="1"/>
        <v>16138.64</v>
      </c>
      <c r="G38" s="9">
        <f t="shared" si="2"/>
        <v>-8018.6399999999994</v>
      </c>
      <c r="H38" s="20"/>
      <c r="I38" s="11">
        <f t="shared" si="3"/>
        <v>7.3979999999999998E-4</v>
      </c>
      <c r="J38" s="20"/>
      <c r="K38" s="11">
        <f t="shared" si="4"/>
        <v>4.281E-4</v>
      </c>
    </row>
    <row r="39" spans="1:11" x14ac:dyDescent="0.3">
      <c r="A39" s="8">
        <v>70285</v>
      </c>
      <c r="B39" s="8" t="s">
        <v>136</v>
      </c>
      <c r="C39" t="s">
        <v>113</v>
      </c>
      <c r="D39" s="32">
        <v>5</v>
      </c>
      <c r="E39" s="5">
        <f t="shared" si="5"/>
        <v>5075</v>
      </c>
      <c r="F39" s="5">
        <f t="shared" si="1"/>
        <v>10086.65</v>
      </c>
      <c r="G39" s="9">
        <f t="shared" si="2"/>
        <v>-5011.6499999999996</v>
      </c>
      <c r="H39" s="20"/>
      <c r="I39" s="11">
        <f t="shared" si="3"/>
        <v>4.6240000000000002E-4</v>
      </c>
      <c r="J39" s="20"/>
      <c r="K39" s="11">
        <f t="shared" si="4"/>
        <v>2.676E-4</v>
      </c>
    </row>
    <row r="40" spans="1:11" x14ac:dyDescent="0.3">
      <c r="A40" s="8">
        <v>70286</v>
      </c>
      <c r="B40" s="8" t="s">
        <v>137</v>
      </c>
      <c r="C40" t="s">
        <v>21</v>
      </c>
      <c r="D40" s="32">
        <v>8</v>
      </c>
      <c r="E40" s="5">
        <f t="shared" ref="E40:E47" si="7">D40*1015</f>
        <v>8120</v>
      </c>
      <c r="F40" s="5">
        <f t="shared" si="1"/>
        <v>16138.64</v>
      </c>
      <c r="G40" s="9">
        <f t="shared" si="2"/>
        <v>-8018.6399999999994</v>
      </c>
      <c r="H40" s="20"/>
      <c r="I40" s="11">
        <f t="shared" si="3"/>
        <v>7.3979999999999998E-4</v>
      </c>
      <c r="J40" s="20"/>
      <c r="K40" s="11">
        <f t="shared" si="4"/>
        <v>4.281E-4</v>
      </c>
    </row>
    <row r="41" spans="1:11" x14ac:dyDescent="0.3">
      <c r="A41" s="8">
        <v>70288</v>
      </c>
      <c r="B41" s="8" t="s">
        <v>138</v>
      </c>
      <c r="C41" t="s">
        <v>114</v>
      </c>
      <c r="D41" s="32">
        <v>10</v>
      </c>
      <c r="E41" s="5">
        <f t="shared" si="7"/>
        <v>10150</v>
      </c>
      <c r="F41" s="5">
        <f t="shared" si="1"/>
        <v>20173.3</v>
      </c>
      <c r="G41" s="9">
        <f t="shared" si="2"/>
        <v>-10023.299999999999</v>
      </c>
      <c r="H41" s="20"/>
      <c r="I41" s="11">
        <f t="shared" si="3"/>
        <v>9.2480000000000004E-4</v>
      </c>
      <c r="J41" s="20"/>
      <c r="K41" s="11">
        <f t="shared" si="4"/>
        <v>5.3510000000000005E-4</v>
      </c>
    </row>
    <row r="42" spans="1:11" x14ac:dyDescent="0.3">
      <c r="A42" s="8">
        <v>70291</v>
      </c>
      <c r="B42" s="8" t="s">
        <v>139</v>
      </c>
      <c r="C42" t="s">
        <v>115</v>
      </c>
      <c r="D42" s="32">
        <v>1</v>
      </c>
      <c r="E42" s="5">
        <f t="shared" si="7"/>
        <v>1015</v>
      </c>
      <c r="F42" s="5">
        <f t="shared" si="1"/>
        <v>2017.33</v>
      </c>
      <c r="G42" s="9">
        <f t="shared" si="2"/>
        <v>-1002.3299999999999</v>
      </c>
      <c r="H42" s="20"/>
      <c r="I42" s="11">
        <f t="shared" ref="I42:I70" si="8">ROUND(E42/$E$84,7)</f>
        <v>9.2499999999999999E-5</v>
      </c>
      <c r="J42" s="20"/>
      <c r="K42" s="11">
        <f t="shared" si="4"/>
        <v>5.3499999999999999E-5</v>
      </c>
    </row>
    <row r="43" spans="1:11" x14ac:dyDescent="0.3">
      <c r="A43" s="8">
        <v>70292</v>
      </c>
      <c r="B43" s="8" t="s">
        <v>140</v>
      </c>
      <c r="C43" t="s">
        <v>22</v>
      </c>
      <c r="D43" s="32">
        <v>5</v>
      </c>
      <c r="E43" s="5">
        <f t="shared" si="7"/>
        <v>5075</v>
      </c>
      <c r="F43" s="5">
        <f t="shared" si="1"/>
        <v>10086.65</v>
      </c>
      <c r="G43" s="9">
        <f t="shared" si="2"/>
        <v>-5011.6499999999996</v>
      </c>
      <c r="H43" s="20"/>
      <c r="I43" s="11">
        <f t="shared" si="8"/>
        <v>4.6240000000000002E-4</v>
      </c>
      <c r="J43" s="20"/>
      <c r="K43" s="11">
        <f t="shared" si="4"/>
        <v>2.676E-4</v>
      </c>
    </row>
    <row r="44" spans="1:11" x14ac:dyDescent="0.3">
      <c r="A44" s="8">
        <v>70293</v>
      </c>
      <c r="B44" s="8" t="s">
        <v>141</v>
      </c>
      <c r="C44" t="s">
        <v>74</v>
      </c>
      <c r="D44" s="32">
        <v>3</v>
      </c>
      <c r="E44" s="5">
        <f t="shared" si="7"/>
        <v>3045</v>
      </c>
      <c r="F44" s="5">
        <f t="shared" si="1"/>
        <v>6051.99</v>
      </c>
      <c r="G44" s="9">
        <f t="shared" si="2"/>
        <v>-3006.99</v>
      </c>
      <c r="H44" s="20"/>
      <c r="I44" s="11">
        <f t="shared" si="8"/>
        <v>2.7740000000000002E-4</v>
      </c>
      <c r="J44" s="20"/>
      <c r="K44" s="11">
        <f t="shared" si="4"/>
        <v>1.605E-4</v>
      </c>
    </row>
    <row r="45" spans="1:11" x14ac:dyDescent="0.3">
      <c r="A45" s="8">
        <v>70294</v>
      </c>
      <c r="B45" s="8" t="s">
        <v>142</v>
      </c>
      <c r="C45" t="s">
        <v>23</v>
      </c>
      <c r="D45" s="32">
        <v>4</v>
      </c>
      <c r="E45" s="5">
        <f t="shared" si="7"/>
        <v>4060</v>
      </c>
      <c r="F45" s="5">
        <f t="shared" si="1"/>
        <v>8069.32</v>
      </c>
      <c r="G45" s="9">
        <f t="shared" si="2"/>
        <v>-4009.3199999999997</v>
      </c>
      <c r="H45" s="20"/>
      <c r="I45" s="11">
        <f t="shared" si="8"/>
        <v>3.6989999999999999E-4</v>
      </c>
      <c r="J45" s="20"/>
      <c r="K45" s="11">
        <f t="shared" si="4"/>
        <v>2.14E-4</v>
      </c>
    </row>
    <row r="46" spans="1:11" x14ac:dyDescent="0.3">
      <c r="A46" s="8">
        <v>70296</v>
      </c>
      <c r="B46" s="8" t="s">
        <v>143</v>
      </c>
      <c r="C46" t="s">
        <v>30</v>
      </c>
      <c r="D46" s="32">
        <v>4</v>
      </c>
      <c r="E46" s="5">
        <f t="shared" si="7"/>
        <v>4060</v>
      </c>
      <c r="F46" s="5">
        <f t="shared" si="1"/>
        <v>8069.32</v>
      </c>
      <c r="G46" s="9">
        <f t="shared" si="2"/>
        <v>-4009.3199999999997</v>
      </c>
      <c r="H46" s="20"/>
      <c r="I46" s="11">
        <f t="shared" si="8"/>
        <v>3.6989999999999999E-4</v>
      </c>
      <c r="J46" s="20"/>
      <c r="K46" s="11">
        <f t="shared" si="4"/>
        <v>2.14E-4</v>
      </c>
    </row>
    <row r="47" spans="1:11" x14ac:dyDescent="0.3">
      <c r="A47" s="8">
        <v>70297</v>
      </c>
      <c r="B47" s="8" t="s">
        <v>144</v>
      </c>
      <c r="C47" t="s">
        <v>32</v>
      </c>
      <c r="D47" s="32">
        <v>2</v>
      </c>
      <c r="E47" s="5">
        <f t="shared" si="7"/>
        <v>2030</v>
      </c>
      <c r="F47" s="5">
        <f t="shared" si="1"/>
        <v>4034.66</v>
      </c>
      <c r="G47" s="9">
        <f t="shared" si="2"/>
        <v>-2004.6599999999999</v>
      </c>
      <c r="H47" s="20"/>
      <c r="I47" s="11">
        <f t="shared" si="8"/>
        <v>1.85E-4</v>
      </c>
      <c r="J47" s="20"/>
      <c r="K47" s="11">
        <f t="shared" si="4"/>
        <v>1.07E-4</v>
      </c>
    </row>
    <row r="48" spans="1:11" x14ac:dyDescent="0.3">
      <c r="A48" s="8">
        <v>70298</v>
      </c>
      <c r="B48" s="8" t="s">
        <v>145</v>
      </c>
      <c r="C48" t="s">
        <v>75</v>
      </c>
      <c r="D48" s="32">
        <v>12</v>
      </c>
      <c r="E48" s="5">
        <f t="shared" si="5"/>
        <v>12180</v>
      </c>
      <c r="F48" s="5">
        <f t="shared" si="1"/>
        <v>24207.96</v>
      </c>
      <c r="G48" s="9">
        <f t="shared" si="2"/>
        <v>-12027.96</v>
      </c>
      <c r="H48" s="20"/>
      <c r="I48" s="11">
        <f t="shared" si="8"/>
        <v>1.1096999999999999E-3</v>
      </c>
      <c r="J48" s="20"/>
      <c r="K48" s="11">
        <f t="shared" si="4"/>
        <v>6.4210000000000005E-4</v>
      </c>
    </row>
    <row r="49" spans="1:11" x14ac:dyDescent="0.3">
      <c r="A49" s="8">
        <v>70299</v>
      </c>
      <c r="B49" s="8" t="s">
        <v>146</v>
      </c>
      <c r="C49" t="s">
        <v>33</v>
      </c>
      <c r="D49" s="32">
        <v>3</v>
      </c>
      <c r="E49" s="5">
        <f>D49*1015</f>
        <v>3045</v>
      </c>
      <c r="F49" s="5">
        <f t="shared" si="1"/>
        <v>6051.99</v>
      </c>
      <c r="G49" s="9">
        <f t="shared" si="2"/>
        <v>-3006.99</v>
      </c>
      <c r="H49" s="20"/>
      <c r="I49" s="11">
        <f t="shared" si="8"/>
        <v>2.7740000000000002E-4</v>
      </c>
      <c r="J49" s="20"/>
      <c r="K49" s="11">
        <f t="shared" si="4"/>
        <v>1.605E-4</v>
      </c>
    </row>
    <row r="50" spans="1:11" x14ac:dyDescent="0.3">
      <c r="A50" s="8">
        <v>70402</v>
      </c>
      <c r="B50" s="8" t="s">
        <v>147</v>
      </c>
      <c r="C50" t="s">
        <v>24</v>
      </c>
      <c r="D50" s="32">
        <v>61</v>
      </c>
      <c r="E50" s="5">
        <f t="shared" si="5"/>
        <v>61915</v>
      </c>
      <c r="F50" s="5">
        <f t="shared" si="1"/>
        <v>123057.12999999999</v>
      </c>
      <c r="G50" s="9">
        <f t="shared" si="2"/>
        <v>-61142.12999999999</v>
      </c>
      <c r="H50" s="20"/>
      <c r="I50" s="11">
        <f t="shared" si="8"/>
        <v>5.6410999999999996E-3</v>
      </c>
      <c r="J50" s="20"/>
      <c r="K50" s="11">
        <f t="shared" si="4"/>
        <v>3.2642000000000001E-3</v>
      </c>
    </row>
    <row r="51" spans="1:11" x14ac:dyDescent="0.3">
      <c r="A51" s="8">
        <v>70403</v>
      </c>
      <c r="B51" s="8" t="s">
        <v>148</v>
      </c>
      <c r="C51" t="s">
        <v>76</v>
      </c>
      <c r="D51" s="32">
        <v>169</v>
      </c>
      <c r="E51" s="5">
        <f t="shared" si="5"/>
        <v>171535</v>
      </c>
      <c r="F51" s="5">
        <f t="shared" si="1"/>
        <v>340928.76999999996</v>
      </c>
      <c r="G51" s="9">
        <f t="shared" si="2"/>
        <v>-169393.76999999996</v>
      </c>
      <c r="H51" s="20"/>
      <c r="I51" s="11">
        <f t="shared" si="8"/>
        <v>1.5628800000000002E-2</v>
      </c>
      <c r="J51" s="20"/>
      <c r="K51" s="11">
        <f t="shared" si="4"/>
        <v>9.0434E-3</v>
      </c>
    </row>
    <row r="52" spans="1:11" x14ac:dyDescent="0.3">
      <c r="A52" s="8">
        <v>70961</v>
      </c>
      <c r="B52" s="8" t="s">
        <v>87</v>
      </c>
      <c r="C52" t="s">
        <v>3</v>
      </c>
      <c r="D52" s="32">
        <v>67</v>
      </c>
      <c r="E52" s="5">
        <f t="shared" si="5"/>
        <v>68005</v>
      </c>
      <c r="F52" s="5">
        <f t="shared" si="1"/>
        <v>135161.10999999999</v>
      </c>
      <c r="G52" s="9">
        <f t="shared" si="2"/>
        <v>-67156.109999999986</v>
      </c>
      <c r="H52" s="20"/>
      <c r="I52" s="11">
        <f t="shared" si="8"/>
        <v>6.1960000000000001E-3</v>
      </c>
      <c r="J52" s="20"/>
      <c r="K52" s="11">
        <f t="shared" si="4"/>
        <v>3.5852000000000002E-3</v>
      </c>
    </row>
    <row r="53" spans="1:11" x14ac:dyDescent="0.3">
      <c r="A53" s="8">
        <v>70999</v>
      </c>
      <c r="B53" s="8" t="s">
        <v>88</v>
      </c>
      <c r="C53" t="s">
        <v>25</v>
      </c>
      <c r="D53" s="32">
        <v>99</v>
      </c>
      <c r="E53" s="5">
        <f t="shared" si="5"/>
        <v>100485</v>
      </c>
      <c r="F53" s="5">
        <f t="shared" si="1"/>
        <v>199715.66999999998</v>
      </c>
      <c r="G53" s="9">
        <f t="shared" si="2"/>
        <v>-99230.669999999984</v>
      </c>
      <c r="H53" s="20"/>
      <c r="I53" s="11">
        <f t="shared" si="8"/>
        <v>9.1552999999999999E-3</v>
      </c>
      <c r="J53" s="20"/>
      <c r="K53" s="11">
        <f t="shared" si="4"/>
        <v>5.2976000000000004E-3</v>
      </c>
    </row>
    <row r="54" spans="1:11" x14ac:dyDescent="0.3">
      <c r="A54" s="8">
        <v>70701</v>
      </c>
      <c r="B54" s="8" t="s">
        <v>86</v>
      </c>
      <c r="C54" t="s">
        <v>42</v>
      </c>
      <c r="D54" s="32">
        <v>225</v>
      </c>
      <c r="E54" s="5">
        <f t="shared" si="5"/>
        <v>228375</v>
      </c>
      <c r="F54" s="5">
        <f t="shared" si="1"/>
        <v>453899.25</v>
      </c>
      <c r="G54" s="9">
        <f t="shared" si="2"/>
        <v>-225524.25</v>
      </c>
      <c r="H54" s="20"/>
      <c r="I54" s="11">
        <f t="shared" si="8"/>
        <v>2.08075E-2</v>
      </c>
      <c r="J54" s="20"/>
      <c r="K54" s="11">
        <f t="shared" si="4"/>
        <v>1.204E-2</v>
      </c>
    </row>
    <row r="55" spans="1:11" x14ac:dyDescent="0.3">
      <c r="A55" s="8">
        <v>70701</v>
      </c>
      <c r="B55" s="8" t="s">
        <v>86</v>
      </c>
      <c r="C55" t="s">
        <v>43</v>
      </c>
      <c r="D55" s="33">
        <v>203</v>
      </c>
      <c r="E55" s="5">
        <f t="shared" si="5"/>
        <v>206045</v>
      </c>
      <c r="F55" s="5">
        <f t="shared" si="1"/>
        <v>409517.99</v>
      </c>
      <c r="G55" s="9">
        <f t="shared" si="2"/>
        <v>-203472.99</v>
      </c>
      <c r="H55" s="20"/>
      <c r="I55" s="11">
        <f t="shared" si="8"/>
        <v>1.8773000000000001E-2</v>
      </c>
      <c r="J55" s="20"/>
      <c r="K55" s="11">
        <f t="shared" si="4"/>
        <v>1.0862800000000001E-2</v>
      </c>
    </row>
    <row r="56" spans="1:11" x14ac:dyDescent="0.3">
      <c r="A56" s="8">
        <v>70701</v>
      </c>
      <c r="B56" s="8" t="s">
        <v>86</v>
      </c>
      <c r="C56" t="s">
        <v>44</v>
      </c>
      <c r="D56" s="33">
        <v>339</v>
      </c>
      <c r="E56" s="5">
        <f t="shared" si="5"/>
        <v>344085</v>
      </c>
      <c r="F56" s="5">
        <f t="shared" si="1"/>
        <v>683874.87</v>
      </c>
      <c r="G56" s="9">
        <f t="shared" si="2"/>
        <v>-339789.87</v>
      </c>
      <c r="H56" s="20"/>
      <c r="I56" s="11">
        <f t="shared" si="8"/>
        <v>3.1350000000000003E-2</v>
      </c>
      <c r="J56" s="20"/>
      <c r="K56" s="11">
        <f t="shared" si="4"/>
        <v>1.8140300000000002E-2</v>
      </c>
    </row>
    <row r="57" spans="1:11" x14ac:dyDescent="0.3">
      <c r="A57" s="8">
        <v>70701</v>
      </c>
      <c r="B57" s="8" t="s">
        <v>86</v>
      </c>
      <c r="C57" t="s">
        <v>45</v>
      </c>
      <c r="D57" s="33">
        <v>161</v>
      </c>
      <c r="E57" s="5">
        <f t="shared" si="5"/>
        <v>163415</v>
      </c>
      <c r="F57" s="5">
        <f t="shared" si="1"/>
        <v>324790.13</v>
      </c>
      <c r="G57" s="9">
        <f t="shared" si="2"/>
        <v>-161375.13</v>
      </c>
      <c r="H57" s="20"/>
      <c r="I57" s="11">
        <f t="shared" si="8"/>
        <v>1.48889E-2</v>
      </c>
      <c r="J57" s="20"/>
      <c r="K57" s="11">
        <f t="shared" si="4"/>
        <v>8.6152999999999993E-3</v>
      </c>
    </row>
    <row r="58" spans="1:11" x14ac:dyDescent="0.3">
      <c r="A58" s="8">
        <v>70701</v>
      </c>
      <c r="B58" s="8" t="s">
        <v>86</v>
      </c>
      <c r="C58" t="s">
        <v>46</v>
      </c>
      <c r="D58" s="33">
        <v>333</v>
      </c>
      <c r="E58" s="5">
        <f t="shared" si="5"/>
        <v>337995</v>
      </c>
      <c r="F58" s="5">
        <f t="shared" si="1"/>
        <v>671770.89</v>
      </c>
      <c r="G58" s="9">
        <f t="shared" si="2"/>
        <v>-333775.89</v>
      </c>
      <c r="H58" s="20"/>
      <c r="I58" s="11">
        <f t="shared" si="8"/>
        <v>3.0795099999999999E-2</v>
      </c>
      <c r="J58" s="20"/>
      <c r="K58" s="11">
        <f t="shared" si="4"/>
        <v>1.78192E-2</v>
      </c>
    </row>
    <row r="59" spans="1:11" x14ac:dyDescent="0.3">
      <c r="A59" s="8">
        <v>70701</v>
      </c>
      <c r="B59" s="8" t="s">
        <v>86</v>
      </c>
      <c r="C59" t="s">
        <v>83</v>
      </c>
      <c r="D59" s="33">
        <v>167</v>
      </c>
      <c r="E59" s="5">
        <f t="shared" si="5"/>
        <v>169505</v>
      </c>
      <c r="F59" s="5">
        <f t="shared" si="1"/>
        <v>336894.11</v>
      </c>
      <c r="G59" s="9">
        <f t="shared" si="2"/>
        <v>-167389.10999999999</v>
      </c>
      <c r="H59" s="20"/>
      <c r="I59" s="11">
        <f t="shared" si="8"/>
        <v>1.5443800000000001E-2</v>
      </c>
      <c r="J59" s="20"/>
      <c r="K59" s="11">
        <f t="shared" si="4"/>
        <v>8.9364000000000006E-3</v>
      </c>
    </row>
    <row r="60" spans="1:11" x14ac:dyDescent="0.3">
      <c r="A60" s="8">
        <v>70701</v>
      </c>
      <c r="B60" s="8" t="s">
        <v>86</v>
      </c>
      <c r="C60" t="s">
        <v>47</v>
      </c>
      <c r="D60" s="33">
        <v>190</v>
      </c>
      <c r="E60" s="5">
        <f t="shared" si="5"/>
        <v>192850</v>
      </c>
      <c r="F60" s="5">
        <f t="shared" si="1"/>
        <v>383292.7</v>
      </c>
      <c r="G60" s="9">
        <f t="shared" si="2"/>
        <v>-190442.7</v>
      </c>
      <c r="H60" s="20"/>
      <c r="I60" s="11">
        <f t="shared" si="8"/>
        <v>1.7570800000000001E-2</v>
      </c>
      <c r="J60" s="20"/>
      <c r="K60" s="11">
        <f t="shared" si="4"/>
        <v>1.01671E-2</v>
      </c>
    </row>
    <row r="61" spans="1:11" x14ac:dyDescent="0.3">
      <c r="A61" s="8">
        <v>70701</v>
      </c>
      <c r="B61" s="8" t="s">
        <v>86</v>
      </c>
      <c r="C61" t="s">
        <v>48</v>
      </c>
      <c r="D61" s="33">
        <v>158</v>
      </c>
      <c r="E61" s="5">
        <f t="shared" si="5"/>
        <v>160370</v>
      </c>
      <c r="F61" s="5">
        <f t="shared" si="1"/>
        <v>318738.14</v>
      </c>
      <c r="G61" s="9">
        <f t="shared" si="2"/>
        <v>-158368.14000000001</v>
      </c>
      <c r="H61" s="20"/>
      <c r="I61" s="11">
        <f t="shared" si="8"/>
        <v>1.4611499999999999E-2</v>
      </c>
      <c r="J61" s="20"/>
      <c r="K61" s="11">
        <f t="shared" si="4"/>
        <v>8.4548000000000002E-3</v>
      </c>
    </row>
    <row r="62" spans="1:11" x14ac:dyDescent="0.3">
      <c r="A62" s="8">
        <v>70701</v>
      </c>
      <c r="B62" s="8" t="s">
        <v>86</v>
      </c>
      <c r="C62" t="s">
        <v>49</v>
      </c>
      <c r="D62" s="33">
        <v>194</v>
      </c>
      <c r="E62" s="5">
        <f t="shared" si="5"/>
        <v>196910</v>
      </c>
      <c r="F62" s="5">
        <f t="shared" si="1"/>
        <v>391362.01999999996</v>
      </c>
      <c r="G62" s="9">
        <f t="shared" si="2"/>
        <v>-194452.01999999996</v>
      </c>
      <c r="H62" s="20"/>
      <c r="I62" s="11">
        <f t="shared" si="8"/>
        <v>1.79407E-2</v>
      </c>
      <c r="J62" s="20"/>
      <c r="K62" s="11">
        <f t="shared" si="4"/>
        <v>1.03812E-2</v>
      </c>
    </row>
    <row r="63" spans="1:11" x14ac:dyDescent="0.3">
      <c r="A63" s="8">
        <v>70701</v>
      </c>
      <c r="B63" s="8" t="s">
        <v>86</v>
      </c>
      <c r="C63" t="s">
        <v>50</v>
      </c>
      <c r="D63" s="33">
        <v>382</v>
      </c>
      <c r="E63" s="5">
        <f t="shared" si="5"/>
        <v>387730</v>
      </c>
      <c r="F63" s="5">
        <f t="shared" si="1"/>
        <v>770620.05999999994</v>
      </c>
      <c r="G63" s="9">
        <f t="shared" si="2"/>
        <v>-382890.05999999994</v>
      </c>
      <c r="H63" s="20"/>
      <c r="I63" s="11">
        <f t="shared" si="8"/>
        <v>3.5326499999999997E-2</v>
      </c>
      <c r="J63" s="20"/>
      <c r="K63" s="11">
        <f t="shared" si="4"/>
        <v>2.0441299999999999E-2</v>
      </c>
    </row>
    <row r="64" spans="1:11" x14ac:dyDescent="0.3">
      <c r="A64" s="8">
        <v>70701</v>
      </c>
      <c r="B64" s="8" t="s">
        <v>86</v>
      </c>
      <c r="C64" t="s">
        <v>51</v>
      </c>
      <c r="D64" s="33">
        <v>266</v>
      </c>
      <c r="E64" s="5">
        <f t="shared" si="5"/>
        <v>269990</v>
      </c>
      <c r="F64" s="5">
        <f t="shared" si="1"/>
        <v>536609.78</v>
      </c>
      <c r="G64" s="9">
        <f t="shared" si="2"/>
        <v>-266619.78000000003</v>
      </c>
      <c r="H64" s="20"/>
      <c r="I64" s="11">
        <f t="shared" si="8"/>
        <v>2.4599099999999999E-2</v>
      </c>
      <c r="J64" s="20"/>
      <c r="K64" s="11">
        <f t="shared" si="4"/>
        <v>1.4234E-2</v>
      </c>
    </row>
    <row r="65" spans="1:11" x14ac:dyDescent="0.3">
      <c r="A65" s="8">
        <v>70701</v>
      </c>
      <c r="B65" s="8" t="s">
        <v>86</v>
      </c>
      <c r="C65" t="s">
        <v>52</v>
      </c>
      <c r="D65" s="33">
        <v>71</v>
      </c>
      <c r="E65" s="5">
        <f t="shared" si="5"/>
        <v>72065</v>
      </c>
      <c r="F65" s="5">
        <f t="shared" si="1"/>
        <v>143230.43</v>
      </c>
      <c r="G65" s="9">
        <f t="shared" si="2"/>
        <v>-71165.429999999993</v>
      </c>
      <c r="H65" s="20"/>
      <c r="I65" s="11">
        <f t="shared" si="8"/>
        <v>6.5659000000000004E-3</v>
      </c>
      <c r="J65" s="20"/>
      <c r="K65" s="11">
        <f t="shared" si="4"/>
        <v>3.7992999999999998E-3</v>
      </c>
    </row>
    <row r="66" spans="1:11" x14ac:dyDescent="0.3">
      <c r="A66" s="8">
        <v>70701</v>
      </c>
      <c r="B66" s="8" t="s">
        <v>86</v>
      </c>
      <c r="C66" t="s">
        <v>53</v>
      </c>
      <c r="D66" s="33">
        <v>108</v>
      </c>
      <c r="E66" s="5">
        <f t="shared" si="5"/>
        <v>109620</v>
      </c>
      <c r="F66" s="5">
        <f t="shared" si="1"/>
        <v>217871.63999999998</v>
      </c>
      <c r="G66" s="9">
        <f t="shared" si="2"/>
        <v>-108251.63999999998</v>
      </c>
      <c r="H66" s="20"/>
      <c r="I66" s="11">
        <f t="shared" si="8"/>
        <v>9.9875999999999993E-3</v>
      </c>
      <c r="J66" s="20"/>
      <c r="K66" s="11">
        <f t="shared" si="4"/>
        <v>5.7792E-3</v>
      </c>
    </row>
    <row r="67" spans="1:11" x14ac:dyDescent="0.3">
      <c r="A67" s="8">
        <v>70701</v>
      </c>
      <c r="B67" s="8" t="s">
        <v>86</v>
      </c>
      <c r="C67" t="s">
        <v>54</v>
      </c>
      <c r="D67" s="33">
        <v>93</v>
      </c>
      <c r="E67" s="5">
        <f t="shared" si="5"/>
        <v>94395</v>
      </c>
      <c r="F67" s="5">
        <f t="shared" si="1"/>
        <v>187611.69</v>
      </c>
      <c r="G67" s="9">
        <f t="shared" si="2"/>
        <v>-93216.69</v>
      </c>
      <c r="H67" s="20"/>
      <c r="I67" s="11">
        <f t="shared" si="8"/>
        <v>8.6003999999999994E-3</v>
      </c>
      <c r="J67" s="20"/>
      <c r="K67" s="11">
        <f t="shared" si="4"/>
        <v>4.9765E-3</v>
      </c>
    </row>
    <row r="68" spans="1:11" x14ac:dyDescent="0.3">
      <c r="A68" s="8">
        <v>70701</v>
      </c>
      <c r="B68" s="8" t="s">
        <v>86</v>
      </c>
      <c r="C68" t="s">
        <v>55</v>
      </c>
      <c r="D68" s="33">
        <v>160</v>
      </c>
      <c r="E68" s="5">
        <f t="shared" si="5"/>
        <v>162400</v>
      </c>
      <c r="F68" s="5">
        <f t="shared" si="1"/>
        <v>322772.8</v>
      </c>
      <c r="G68" s="9">
        <f t="shared" si="2"/>
        <v>-160372.79999999999</v>
      </c>
      <c r="H68" s="20"/>
      <c r="I68" s="11">
        <f t="shared" si="8"/>
        <v>1.4796500000000001E-2</v>
      </c>
      <c r="J68" s="20"/>
      <c r="K68" s="11">
        <f t="shared" si="4"/>
        <v>8.5617999999999996E-3</v>
      </c>
    </row>
    <row r="69" spans="1:11" x14ac:dyDescent="0.3">
      <c r="A69" s="8">
        <v>70701</v>
      </c>
      <c r="B69" s="8" t="s">
        <v>86</v>
      </c>
      <c r="C69" t="s">
        <v>56</v>
      </c>
      <c r="D69" s="33">
        <v>218</v>
      </c>
      <c r="E69" s="5">
        <f t="shared" si="5"/>
        <v>221270</v>
      </c>
      <c r="F69" s="5">
        <f t="shared" si="1"/>
        <v>439777.94</v>
      </c>
      <c r="G69" s="9">
        <f t="shared" si="2"/>
        <v>-218507.94</v>
      </c>
      <c r="H69" s="20"/>
      <c r="I69" s="11">
        <f t="shared" si="8"/>
        <v>2.01602E-2</v>
      </c>
      <c r="J69" s="20"/>
      <c r="K69" s="11">
        <f t="shared" si="4"/>
        <v>1.1665500000000001E-2</v>
      </c>
    </row>
    <row r="70" spans="1:11" x14ac:dyDescent="0.3">
      <c r="A70" s="8">
        <v>70701</v>
      </c>
      <c r="B70" s="8" t="s">
        <v>86</v>
      </c>
      <c r="C70" t="s">
        <v>57</v>
      </c>
      <c r="D70" s="33">
        <v>242</v>
      </c>
      <c r="E70" s="5">
        <f t="shared" si="5"/>
        <v>245630</v>
      </c>
      <c r="F70" s="5">
        <f t="shared" si="1"/>
        <v>488193.86</v>
      </c>
      <c r="G70" s="9">
        <f t="shared" si="2"/>
        <v>-242563.86</v>
      </c>
      <c r="H70" s="20"/>
      <c r="I70" s="11">
        <f t="shared" si="8"/>
        <v>2.2379599999999999E-2</v>
      </c>
      <c r="J70" s="20"/>
      <c r="K70" s="11">
        <f t="shared" si="4"/>
        <v>1.29497E-2</v>
      </c>
    </row>
    <row r="71" spans="1:11" x14ac:dyDescent="0.3">
      <c r="A71" s="8">
        <v>70701</v>
      </c>
      <c r="B71" s="8" t="s">
        <v>86</v>
      </c>
      <c r="C71" t="s">
        <v>58</v>
      </c>
      <c r="D71" s="33">
        <v>221</v>
      </c>
      <c r="E71" s="5">
        <f t="shared" si="5"/>
        <v>224315</v>
      </c>
      <c r="F71" s="5">
        <f t="shared" ref="F71:F81" si="9">D71*2017.33</f>
        <v>445829.93</v>
      </c>
      <c r="G71" s="9">
        <f t="shared" si="2"/>
        <v>-221514.93</v>
      </c>
      <c r="H71" s="20"/>
      <c r="I71" s="11">
        <f t="shared" ref="I71:I81" si="10">ROUND(E71/$E$84,7)</f>
        <v>2.04376E-2</v>
      </c>
      <c r="J71" s="20"/>
      <c r="K71" s="11">
        <f t="shared" si="4"/>
        <v>1.1826E-2</v>
      </c>
    </row>
    <row r="72" spans="1:11" x14ac:dyDescent="0.3">
      <c r="A72" s="8">
        <v>70701</v>
      </c>
      <c r="B72" s="8" t="s">
        <v>86</v>
      </c>
      <c r="C72" t="s">
        <v>59</v>
      </c>
      <c r="D72" s="33">
        <v>128</v>
      </c>
      <c r="E72" s="5">
        <f t="shared" si="5"/>
        <v>129920</v>
      </c>
      <c r="F72" s="5">
        <f t="shared" si="9"/>
        <v>258218.23999999999</v>
      </c>
      <c r="G72" s="9">
        <f t="shared" si="2"/>
        <v>-128298.23999999999</v>
      </c>
      <c r="H72" s="20"/>
      <c r="I72" s="11">
        <f t="shared" si="10"/>
        <v>1.1837200000000001E-2</v>
      </c>
      <c r="J72" s="20"/>
      <c r="K72" s="11">
        <f t="shared" ref="K72:K81" si="11">ROUND(I72*$G$2,7)</f>
        <v>6.8494999999999997E-3</v>
      </c>
    </row>
    <row r="73" spans="1:11" x14ac:dyDescent="0.3">
      <c r="A73" s="8">
        <v>70701</v>
      </c>
      <c r="B73" s="8" t="s">
        <v>86</v>
      </c>
      <c r="C73" t="s">
        <v>60</v>
      </c>
      <c r="D73" s="33">
        <v>208</v>
      </c>
      <c r="E73" s="5">
        <f t="shared" si="5"/>
        <v>211120</v>
      </c>
      <c r="F73" s="5">
        <f t="shared" si="9"/>
        <v>419604.64</v>
      </c>
      <c r="G73" s="9">
        <f t="shared" ref="G73:G81" si="12">+E73-F73</f>
        <v>-208484.64</v>
      </c>
      <c r="H73" s="20"/>
      <c r="I73" s="11">
        <f t="shared" si="10"/>
        <v>1.92354E-2</v>
      </c>
      <c r="J73" s="20"/>
      <c r="K73" s="11">
        <f t="shared" si="11"/>
        <v>1.1130299999999999E-2</v>
      </c>
    </row>
    <row r="74" spans="1:11" x14ac:dyDescent="0.3">
      <c r="A74" s="8">
        <v>70701</v>
      </c>
      <c r="B74" s="8" t="s">
        <v>86</v>
      </c>
      <c r="C74" t="s">
        <v>61</v>
      </c>
      <c r="D74" s="33">
        <v>177</v>
      </c>
      <c r="E74" s="5">
        <f t="shared" si="5"/>
        <v>179655</v>
      </c>
      <c r="F74" s="5">
        <f t="shared" si="9"/>
        <v>357067.41</v>
      </c>
      <c r="G74" s="9">
        <f t="shared" si="12"/>
        <v>-177412.40999999997</v>
      </c>
      <c r="H74" s="20"/>
      <c r="I74" s="11">
        <f t="shared" si="10"/>
        <v>1.6368600000000001E-2</v>
      </c>
      <c r="J74" s="20"/>
      <c r="K74" s="11">
        <f t="shared" si="11"/>
        <v>9.4715000000000008E-3</v>
      </c>
    </row>
    <row r="75" spans="1:11" x14ac:dyDescent="0.3">
      <c r="A75" s="8">
        <v>70701</v>
      </c>
      <c r="B75" s="8" t="s">
        <v>86</v>
      </c>
      <c r="C75" t="s">
        <v>62</v>
      </c>
      <c r="D75" s="33">
        <v>153</v>
      </c>
      <c r="E75" s="5">
        <f t="shared" ref="E75:E81" si="13">D75*1015</f>
        <v>155295</v>
      </c>
      <c r="F75" s="5">
        <f t="shared" si="9"/>
        <v>308651.49</v>
      </c>
      <c r="G75" s="9">
        <f t="shared" si="12"/>
        <v>-153356.49</v>
      </c>
      <c r="H75" s="20"/>
      <c r="I75" s="11">
        <f t="shared" si="10"/>
        <v>1.41491E-2</v>
      </c>
      <c r="J75" s="20"/>
      <c r="K75" s="11">
        <f t="shared" si="11"/>
        <v>8.1872000000000004E-3</v>
      </c>
    </row>
    <row r="76" spans="1:11" x14ac:dyDescent="0.3">
      <c r="A76" s="8">
        <v>70701</v>
      </c>
      <c r="B76" s="8" t="s">
        <v>86</v>
      </c>
      <c r="C76" t="s">
        <v>63</v>
      </c>
      <c r="D76" s="33">
        <v>192</v>
      </c>
      <c r="E76" s="5">
        <f t="shared" si="13"/>
        <v>194880</v>
      </c>
      <c r="F76" s="5">
        <f t="shared" si="9"/>
        <v>387327.36</v>
      </c>
      <c r="G76" s="9">
        <f t="shared" si="12"/>
        <v>-192447.35999999999</v>
      </c>
      <c r="H76" s="20"/>
      <c r="I76" s="11">
        <f t="shared" si="10"/>
        <v>1.7755699999999999E-2</v>
      </c>
      <c r="J76" s="20"/>
      <c r="K76" s="11">
        <f t="shared" si="11"/>
        <v>1.02741E-2</v>
      </c>
    </row>
    <row r="77" spans="1:11" x14ac:dyDescent="0.3">
      <c r="A77" s="8">
        <v>70701</v>
      </c>
      <c r="B77" s="8" t="s">
        <v>86</v>
      </c>
      <c r="C77" t="s">
        <v>64</v>
      </c>
      <c r="D77" s="33">
        <v>197</v>
      </c>
      <c r="E77" s="5">
        <f t="shared" si="13"/>
        <v>199955</v>
      </c>
      <c r="F77" s="5">
        <f t="shared" si="9"/>
        <v>397414.01</v>
      </c>
      <c r="G77" s="9">
        <f t="shared" si="12"/>
        <v>-197459.01</v>
      </c>
      <c r="H77" s="20"/>
      <c r="I77" s="11">
        <f t="shared" si="10"/>
        <v>1.8218100000000001E-2</v>
      </c>
      <c r="J77" s="20"/>
      <c r="K77" s="11">
        <f t="shared" si="11"/>
        <v>1.0541699999999999E-2</v>
      </c>
    </row>
    <row r="78" spans="1:11" x14ac:dyDescent="0.3">
      <c r="A78" s="8">
        <v>70701</v>
      </c>
      <c r="B78" s="8" t="s">
        <v>86</v>
      </c>
      <c r="C78" t="s">
        <v>84</v>
      </c>
      <c r="D78" s="33">
        <v>123</v>
      </c>
      <c r="E78" s="5">
        <f t="shared" si="13"/>
        <v>124845</v>
      </c>
      <c r="F78" s="5">
        <f t="shared" si="9"/>
        <v>248131.59</v>
      </c>
      <c r="G78" s="9">
        <f t="shared" si="12"/>
        <v>-123286.59</v>
      </c>
      <c r="H78" s="20"/>
      <c r="I78" s="11">
        <f t="shared" si="10"/>
        <v>1.1374799999999999E-2</v>
      </c>
      <c r="J78" s="20"/>
      <c r="K78" s="11">
        <f t="shared" si="11"/>
        <v>6.5818999999999999E-3</v>
      </c>
    </row>
    <row r="79" spans="1:11" x14ac:dyDescent="0.3">
      <c r="A79" s="8">
        <v>70701</v>
      </c>
      <c r="B79" s="8" t="s">
        <v>86</v>
      </c>
      <c r="C79" t="s">
        <v>77</v>
      </c>
      <c r="D79" s="33">
        <v>204</v>
      </c>
      <c r="E79" s="5">
        <f t="shared" si="13"/>
        <v>207060</v>
      </c>
      <c r="F79" s="5">
        <f t="shared" si="9"/>
        <v>411535.32</v>
      </c>
      <c r="G79" s="9">
        <f t="shared" ref="G79:G80" si="14">+E79-F79</f>
        <v>-204475.32</v>
      </c>
      <c r="H79" s="20"/>
      <c r="I79" s="11">
        <f t="shared" si="10"/>
        <v>1.88655E-2</v>
      </c>
      <c r="J79" s="20"/>
      <c r="K79" s="11">
        <f t="shared" ref="K79:K80" si="15">ROUND(I79*$G$2,7)</f>
        <v>1.09163E-2</v>
      </c>
    </row>
    <row r="80" spans="1:11" x14ac:dyDescent="0.3">
      <c r="A80" s="8">
        <v>70701</v>
      </c>
      <c r="B80" s="8" t="s">
        <v>86</v>
      </c>
      <c r="C80" t="s">
        <v>85</v>
      </c>
      <c r="D80" s="33">
        <v>147</v>
      </c>
      <c r="E80" s="5">
        <f t="shared" si="13"/>
        <v>149205</v>
      </c>
      <c r="F80" s="5">
        <f t="shared" si="9"/>
        <v>296547.51</v>
      </c>
      <c r="G80" s="9">
        <f t="shared" si="14"/>
        <v>-147342.51</v>
      </c>
      <c r="H80" s="20"/>
      <c r="I80" s="11">
        <f t="shared" si="10"/>
        <v>1.3594200000000001E-2</v>
      </c>
      <c r="J80" s="20"/>
      <c r="K80" s="11">
        <f t="shared" si="15"/>
        <v>7.8660999999999991E-3</v>
      </c>
    </row>
    <row r="81" spans="1:12" x14ac:dyDescent="0.3">
      <c r="A81" s="8">
        <v>70701</v>
      </c>
      <c r="B81" s="8" t="s">
        <v>86</v>
      </c>
      <c r="C81" t="s">
        <v>65</v>
      </c>
      <c r="D81" s="33">
        <v>221</v>
      </c>
      <c r="E81" s="5">
        <f t="shared" si="13"/>
        <v>224315</v>
      </c>
      <c r="F81" s="5">
        <f t="shared" si="9"/>
        <v>445829.93</v>
      </c>
      <c r="G81" s="9">
        <f t="shared" si="12"/>
        <v>-221514.93</v>
      </c>
      <c r="H81" s="20"/>
      <c r="I81" s="11">
        <f t="shared" si="10"/>
        <v>2.04376E-2</v>
      </c>
      <c r="J81" s="20"/>
      <c r="K81" s="11">
        <f t="shared" si="11"/>
        <v>1.1826E-2</v>
      </c>
    </row>
    <row r="82" spans="1:12" x14ac:dyDescent="0.3">
      <c r="A82" s="8"/>
      <c r="B82" s="8"/>
      <c r="D82" s="33"/>
      <c r="E82" s="5"/>
      <c r="F82" s="5"/>
      <c r="G82" s="9"/>
      <c r="H82" s="20"/>
      <c r="I82" s="11"/>
      <c r="J82" s="20"/>
      <c r="K82" s="11"/>
    </row>
    <row r="83" spans="1:12" x14ac:dyDescent="0.3">
      <c r="A83" s="8"/>
      <c r="D83" s="33"/>
      <c r="E83" s="5"/>
      <c r="F83" s="5"/>
      <c r="G83" s="9"/>
      <c r="H83" s="20"/>
      <c r="I83" s="11"/>
      <c r="J83" s="20"/>
      <c r="K83" s="11"/>
    </row>
    <row r="84" spans="1:12" s="13" customFormat="1" ht="15" thickBot="1" x14ac:dyDescent="0.35">
      <c r="B84" s="3"/>
      <c r="C84" s="12" t="s">
        <v>38</v>
      </c>
      <c r="D84" s="34">
        <f>SUM(D7:D81)</f>
        <v>10813.4</v>
      </c>
      <c r="E84" s="26">
        <f>SUM(E7:E81)</f>
        <v>10975601</v>
      </c>
      <c r="F84" s="31">
        <f>SUM(F7:F81)</f>
        <v>21814196.221999999</v>
      </c>
      <c r="G84" s="6">
        <f>SUM(G7:G81)</f>
        <v>-10838595.221999999</v>
      </c>
      <c r="H84" s="21"/>
      <c r="I84" s="14">
        <f>SUM(I7:I81)</f>
        <v>0.99999999999999956</v>
      </c>
      <c r="J84" s="21"/>
      <c r="K84" s="14">
        <f>SUM(K7:K81)</f>
        <v>0.57863879999999979</v>
      </c>
      <c r="L84" s="21">
        <f>K84-G2</f>
        <v>0</v>
      </c>
    </row>
    <row r="85" spans="1:12" ht="15" thickTop="1" x14ac:dyDescent="0.3">
      <c r="D85" s="25" t="s">
        <v>26</v>
      </c>
      <c r="F85" s="5"/>
    </row>
    <row r="86" spans="1:12" x14ac:dyDescent="0.3">
      <c r="C86" t="s">
        <v>35</v>
      </c>
      <c r="D86" s="35">
        <f>+D84-10813</f>
        <v>0.3999999999996362</v>
      </c>
      <c r="E86" s="4">
        <f>+E84-10975601</f>
        <v>0</v>
      </c>
      <c r="F86" s="5">
        <f>+F84-(D84*2017.33)</f>
        <v>0</v>
      </c>
      <c r="G86" s="9">
        <f>+F84-E84+G84</f>
        <v>0</v>
      </c>
    </row>
    <row r="87" spans="1:12" x14ac:dyDescent="0.3">
      <c r="F87" s="4" t="s">
        <v>26</v>
      </c>
    </row>
    <row r="88" spans="1:12" x14ac:dyDescent="0.3">
      <c r="E88" s="4" t="s">
        <v>26</v>
      </c>
    </row>
  </sheetData>
  <phoneticPr fontId="7" type="noConversion"/>
  <pageMargins left="0" right="0" top="0.25" bottom="0.25" header="0" footer="0"/>
  <pageSetup scale="79" fitToHeight="2" orientation="landscape" r:id="rId1"/>
  <headerFooter>
    <oddFooter>&amp;LCreated 8/1/2024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5420-2077-494C-94ED-B3B0F1E92372}">
  <dimension ref="A1:I14"/>
  <sheetViews>
    <sheetView workbookViewId="0">
      <selection activeCell="A12" sqref="A12"/>
    </sheetView>
  </sheetViews>
  <sheetFormatPr defaultRowHeight="14.4" x14ac:dyDescent="0.3"/>
  <sheetData>
    <row r="1" spans="1:9" ht="15.6" x14ac:dyDescent="0.3">
      <c r="A1" s="30" t="s">
        <v>68</v>
      </c>
    </row>
    <row r="3" spans="1:9" x14ac:dyDescent="0.3">
      <c r="A3" s="38" t="s">
        <v>69</v>
      </c>
      <c r="B3" s="38"/>
      <c r="C3" s="38"/>
      <c r="D3" s="38"/>
      <c r="E3" s="38"/>
      <c r="F3" s="38"/>
      <c r="G3" s="38"/>
      <c r="H3" s="38"/>
    </row>
    <row r="5" spans="1:9" x14ac:dyDescent="0.3">
      <c r="A5" s="38" t="s">
        <v>70</v>
      </c>
      <c r="B5" s="38"/>
      <c r="C5" s="38"/>
      <c r="D5" s="38"/>
      <c r="E5" s="38"/>
      <c r="F5" s="38"/>
      <c r="G5" s="38"/>
      <c r="H5" s="38"/>
      <c r="I5" s="38"/>
    </row>
    <row r="7" spans="1:9" x14ac:dyDescent="0.3">
      <c r="A7" s="38" t="s">
        <v>71</v>
      </c>
      <c r="B7" s="38"/>
      <c r="C7" s="38"/>
      <c r="D7" s="38"/>
      <c r="E7" s="38"/>
    </row>
    <row r="9" spans="1:9" x14ac:dyDescent="0.3">
      <c r="A9" s="38" t="s">
        <v>72</v>
      </c>
      <c r="B9" s="38"/>
      <c r="C9" s="38"/>
      <c r="D9" s="38"/>
      <c r="E9" s="38"/>
    </row>
    <row r="11" spans="1:9" x14ac:dyDescent="0.3">
      <c r="A11" t="s">
        <v>73</v>
      </c>
    </row>
    <row r="13" spans="1:9" x14ac:dyDescent="0.3">
      <c r="B13" t="s">
        <v>66</v>
      </c>
    </row>
    <row r="14" spans="1:9" x14ac:dyDescent="0.3">
      <c r="A14" t="s">
        <v>67</v>
      </c>
      <c r="B14">
        <v>722.55</v>
      </c>
    </row>
  </sheetData>
  <mergeCells count="4">
    <mergeCell ref="A3:H3"/>
    <mergeCell ref="A5:I5"/>
    <mergeCell ref="A7:E7"/>
    <mergeCell ref="A9:E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State</vt:lpstr>
      <vt:lpstr>Notes</vt:lpstr>
      <vt:lpstr>State!Print_Area</vt:lpstr>
      <vt:lpstr>State!Print_Titles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Line of Duty Contributions Required and Paid - State Agencies</dc:title>
  <dc:creator>Virginia Retirement System</dc:creator>
  <cp:lastPrinted>2024-08-27T19:20:00Z</cp:lastPrinted>
  <dcterms:created xsi:type="dcterms:W3CDTF">2012-09-10T14:31:20Z</dcterms:created>
  <dcterms:modified xsi:type="dcterms:W3CDTF">2026-08-06T21:43:28Z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0160-E704-C694-5CED</vt:lpwstr>
  </property>
</Properties>
</file>