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88D98756-28AC-482C-896A-27170EADDB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olitical" sheetId="2" r:id="rId1"/>
    <sheet name="Notes" sheetId="3" state="hidden" r:id="rId2"/>
  </sheets>
  <definedNames>
    <definedName name="_xlnm.Print_Area" localSheetId="0">Political!$A$7:$M$72</definedName>
    <definedName name="_xlnm.Print_Titles" localSheetId="0">Political!$1:$6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7" i="2" l="1"/>
  <c r="E74" i="2"/>
  <c r="E77" i="2" s="1"/>
  <c r="K69" i="2"/>
  <c r="K67" i="2"/>
  <c r="D74" i="2"/>
  <c r="F66" i="2"/>
  <c r="H66" i="2" s="1"/>
  <c r="F67" i="2"/>
  <c r="G67" i="2" s="1"/>
  <c r="F68" i="2"/>
  <c r="H68" i="2" s="1"/>
  <c r="F69" i="2"/>
  <c r="G69" i="2" s="1"/>
  <c r="F70" i="2"/>
  <c r="G70" i="2" s="1"/>
  <c r="F71" i="2"/>
  <c r="G71" i="2" s="1"/>
  <c r="H67" i="2" l="1"/>
  <c r="I67" i="2" s="1"/>
  <c r="H69" i="2"/>
  <c r="I69" i="2" s="1"/>
  <c r="G68" i="2"/>
  <c r="G66" i="2"/>
  <c r="H70" i="2"/>
  <c r="I70" i="2"/>
  <c r="K70" i="2"/>
  <c r="K71" i="2"/>
  <c r="H71" i="2"/>
  <c r="I66" i="2" l="1"/>
  <c r="K66" i="2"/>
  <c r="I68" i="2"/>
  <c r="K68" i="2"/>
  <c r="I71" i="2"/>
  <c r="F7" i="2" l="1"/>
  <c r="H7" i="2" l="1"/>
  <c r="G7" i="2"/>
  <c r="K7" i="2" l="1"/>
  <c r="F64" i="2"/>
  <c r="H64" i="2" l="1"/>
  <c r="G64" i="2"/>
  <c r="F10" i="2"/>
  <c r="F27" i="2"/>
  <c r="F24" i="2"/>
  <c r="G24" i="2" s="1"/>
  <c r="F26" i="2"/>
  <c r="F11" i="2"/>
  <c r="F12" i="2"/>
  <c r="F13" i="2"/>
  <c r="F47" i="2"/>
  <c r="F30" i="2"/>
  <c r="F29" i="2"/>
  <c r="F14" i="2"/>
  <c r="F18" i="2"/>
  <c r="F19" i="2"/>
  <c r="F20" i="2"/>
  <c r="F15" i="2"/>
  <c r="F21" i="2"/>
  <c r="F28" i="2"/>
  <c r="F22" i="2"/>
  <c r="F23" i="2"/>
  <c r="F16" i="2"/>
  <c r="F61" i="2"/>
  <c r="F60" i="2"/>
  <c r="F65" i="2"/>
  <c r="F63" i="2"/>
  <c r="G63" i="2" s="1"/>
  <c r="F62" i="2"/>
  <c r="F36" i="2"/>
  <c r="F50" i="2"/>
  <c r="F8" i="2"/>
  <c r="F48" i="2"/>
  <c r="G48" i="2" s="1"/>
  <c r="F34" i="2"/>
  <c r="G34" i="2" s="1"/>
  <c r="F46" i="2"/>
  <c r="G46" i="2" s="1"/>
  <c r="F45" i="2"/>
  <c r="F55" i="2"/>
  <c r="G55" i="2" s="1"/>
  <c r="F37" i="2"/>
  <c r="F25" i="2"/>
  <c r="F57" i="2"/>
  <c r="G57" i="2" s="1"/>
  <c r="F54" i="2"/>
  <c r="G54" i="2" s="1"/>
  <c r="F56" i="2"/>
  <c r="G56" i="2" s="1"/>
  <c r="F41" i="2"/>
  <c r="G41" i="2" s="1"/>
  <c r="F33" i="2"/>
  <c r="G33" i="2" s="1"/>
  <c r="F51" i="2"/>
  <c r="F59" i="2"/>
  <c r="F58" i="2"/>
  <c r="G58" i="2" s="1"/>
  <c r="F9" i="2"/>
  <c r="G9" i="2" s="1"/>
  <c r="F31" i="2"/>
  <c r="G31" i="2" s="1"/>
  <c r="F49" i="2"/>
  <c r="G49" i="2" s="1"/>
  <c r="F39" i="2"/>
  <c r="G39" i="2" s="1"/>
  <c r="F35" i="2"/>
  <c r="F32" i="2"/>
  <c r="G32" i="2" s="1"/>
  <c r="F40" i="2"/>
  <c r="F38" i="2"/>
  <c r="F52" i="2"/>
  <c r="F43" i="2"/>
  <c r="F53" i="2"/>
  <c r="G53" i="2" s="1"/>
  <c r="F44" i="2"/>
  <c r="F42" i="2"/>
  <c r="F17" i="2"/>
  <c r="G8" i="2" l="1"/>
  <c r="F74" i="2"/>
  <c r="H9" i="2"/>
  <c r="H47" i="2"/>
  <c r="G47" i="2"/>
  <c r="H34" i="2"/>
  <c r="H19" i="2"/>
  <c r="G19" i="2"/>
  <c r="H60" i="2"/>
  <c r="G60" i="2"/>
  <c r="G20" i="2"/>
  <c r="H20" i="2"/>
  <c r="H8" i="2"/>
  <c r="H58" i="2"/>
  <c r="H59" i="2"/>
  <c r="G59" i="2"/>
  <c r="G36" i="2"/>
  <c r="H36" i="2"/>
  <c r="H62" i="2"/>
  <c r="G62" i="2"/>
  <c r="G42" i="2"/>
  <c r="H42" i="2"/>
  <c r="H33" i="2"/>
  <c r="H41" i="2"/>
  <c r="H56" i="2"/>
  <c r="H43" i="2"/>
  <c r="G43" i="2"/>
  <c r="G38" i="2"/>
  <c r="H38" i="2"/>
  <c r="H49" i="2"/>
  <c r="H31" i="2"/>
  <c r="G18" i="2"/>
  <c r="H18" i="2"/>
  <c r="H14" i="2"/>
  <c r="G14" i="2"/>
  <c r="H17" i="2"/>
  <c r="G17" i="2"/>
  <c r="H30" i="2"/>
  <c r="G30" i="2"/>
  <c r="H44" i="2"/>
  <c r="G44" i="2"/>
  <c r="H13" i="2"/>
  <c r="G13" i="2"/>
  <c r="H12" i="2"/>
  <c r="G12" i="2"/>
  <c r="G61" i="2"/>
  <c r="H61" i="2"/>
  <c r="H11" i="2"/>
  <c r="G11" i="2"/>
  <c r="G52" i="2"/>
  <c r="H52" i="2"/>
  <c r="H57" i="2"/>
  <c r="G16" i="2"/>
  <c r="H16" i="2"/>
  <c r="G26" i="2"/>
  <c r="H26" i="2"/>
  <c r="G25" i="2"/>
  <c r="H25" i="2"/>
  <c r="G23" i="2"/>
  <c r="H23" i="2"/>
  <c r="H24" i="2"/>
  <c r="G40" i="2"/>
  <c r="H40" i="2"/>
  <c r="G37" i="2"/>
  <c r="H37" i="2"/>
  <c r="H22" i="2"/>
  <c r="G22" i="2"/>
  <c r="G27" i="2"/>
  <c r="H27" i="2"/>
  <c r="H32" i="2"/>
  <c r="H55" i="2"/>
  <c r="H28" i="2"/>
  <c r="G28" i="2"/>
  <c r="K28" i="2" s="1"/>
  <c r="M28" i="2" s="1"/>
  <c r="H10" i="2"/>
  <c r="G10" i="2"/>
  <c r="H35" i="2"/>
  <c r="G35" i="2"/>
  <c r="H45" i="2"/>
  <c r="G45" i="2"/>
  <c r="H21" i="2"/>
  <c r="G21" i="2"/>
  <c r="H48" i="2"/>
  <c r="H50" i="2"/>
  <c r="G50" i="2"/>
  <c r="G29" i="2"/>
  <c r="H29" i="2"/>
  <c r="G51" i="2"/>
  <c r="H51" i="2"/>
  <c r="H63" i="2"/>
  <c r="G65" i="2"/>
  <c r="H65" i="2"/>
  <c r="K53" i="2"/>
  <c r="H53" i="2"/>
  <c r="H54" i="2"/>
  <c r="H39" i="2"/>
  <c r="H46" i="2"/>
  <c r="H15" i="2"/>
  <c r="G15" i="2"/>
  <c r="G74" i="2" l="1"/>
  <c r="H74" i="2"/>
  <c r="I17" i="2"/>
  <c r="G77" i="2" l="1"/>
  <c r="K52" i="2"/>
  <c r="K39" i="2"/>
  <c r="K45" i="2"/>
  <c r="K8" i="2"/>
  <c r="K16" i="2"/>
  <c r="K23" i="2"/>
  <c r="K22" i="2"/>
  <c r="K61" i="2"/>
  <c r="K60" i="2"/>
  <c r="K65" i="2"/>
  <c r="K63" i="2"/>
  <c r="K64" i="2"/>
  <c r="K62" i="2"/>
  <c r="K36" i="2"/>
  <c r="K50" i="2"/>
  <c r="K48" i="2"/>
  <c r="K34" i="2"/>
  <c r="K46" i="2"/>
  <c r="K55" i="2"/>
  <c r="K37" i="2"/>
  <c r="K25" i="2"/>
  <c r="K57" i="2"/>
  <c r="K54" i="2"/>
  <c r="K56" i="2"/>
  <c r="K41" i="2"/>
  <c r="K33" i="2"/>
  <c r="K51" i="2"/>
  <c r="K59" i="2"/>
  <c r="K58" i="2"/>
  <c r="K9" i="2"/>
  <c r="K31" i="2"/>
  <c r="K49" i="2"/>
  <c r="K35" i="2"/>
  <c r="K32" i="2"/>
  <c r="K40" i="2"/>
  <c r="K38" i="2"/>
  <c r="K43" i="2"/>
  <c r="K44" i="2"/>
  <c r="K42" i="2"/>
  <c r="K21" i="2"/>
  <c r="K15" i="2"/>
  <c r="K20" i="2"/>
  <c r="K19" i="2"/>
  <c r="K18" i="2"/>
  <c r="K14" i="2"/>
  <c r="K29" i="2"/>
  <c r="K30" i="2"/>
  <c r="K47" i="2"/>
  <c r="K13" i="2"/>
  <c r="K12" i="2"/>
  <c r="K11" i="2"/>
  <c r="K26" i="2"/>
  <c r="K24" i="2"/>
  <c r="K27" i="2"/>
  <c r="K10" i="2"/>
  <c r="K17" i="2"/>
  <c r="K74" i="2" l="1"/>
  <c r="I44" i="2"/>
  <c r="I42" i="2" l="1"/>
  <c r="I8" i="2" l="1"/>
  <c r="I26" i="2"/>
  <c r="I60" i="2"/>
  <c r="I62" i="2"/>
  <c r="I41" i="2"/>
  <c r="I51" i="2"/>
  <c r="I39" i="2"/>
  <c r="I46" i="2"/>
  <c r="I25" i="2"/>
  <c r="I50" i="2"/>
  <c r="I55" i="2"/>
  <c r="I54" i="2"/>
  <c r="I38" i="2"/>
  <c r="I65" i="2"/>
  <c r="I64" i="2"/>
  <c r="I63" i="2"/>
  <c r="I47" i="2"/>
  <c r="I12" i="2"/>
  <c r="I32" i="2"/>
  <c r="I43" i="2"/>
  <c r="I53" i="2"/>
  <c r="I31" i="2"/>
  <c r="I20" i="2"/>
  <c r="I29" i="2"/>
  <c r="I52" i="2" l="1"/>
  <c r="I56" i="2"/>
  <c r="I59" i="2"/>
  <c r="I37" i="2"/>
  <c r="I36" i="2"/>
  <c r="I57" i="2"/>
  <c r="I35" i="2"/>
  <c r="I9" i="2"/>
  <c r="I33" i="2"/>
  <c r="I48" i="2"/>
  <c r="I49" i="2"/>
  <c r="I45" i="2"/>
  <c r="I58" i="2"/>
  <c r="I40" i="2"/>
  <c r="I34" i="2"/>
  <c r="I61" i="2"/>
  <c r="I23" i="2"/>
  <c r="I11" i="2"/>
  <c r="I21" i="2"/>
  <c r="I19" i="2"/>
  <c r="I14" i="2"/>
  <c r="I28" i="2"/>
  <c r="I30" i="2"/>
  <c r="I24" i="2"/>
  <c r="I15" i="2"/>
  <c r="I13" i="2"/>
  <c r="I22" i="2"/>
  <c r="I16" i="2"/>
  <c r="I18" i="2"/>
  <c r="H4" i="2"/>
  <c r="I2" i="2" s="1"/>
  <c r="I3" i="2" l="1"/>
  <c r="M68" i="2" l="1"/>
  <c r="M69" i="2"/>
  <c r="M67" i="2"/>
  <c r="M66" i="2"/>
  <c r="M70" i="2"/>
  <c r="M71" i="2"/>
  <c r="M7" i="2"/>
  <c r="I4" i="2"/>
  <c r="M24" i="2"/>
  <c r="M10" i="2"/>
  <c r="M26" i="2"/>
  <c r="M12" i="2"/>
  <c r="M47" i="2"/>
  <c r="M29" i="2"/>
  <c r="M18" i="2"/>
  <c r="M20" i="2"/>
  <c r="M21" i="2"/>
  <c r="M23" i="2"/>
  <c r="M61" i="2"/>
  <c r="M65" i="2"/>
  <c r="M64" i="2"/>
  <c r="M36" i="2"/>
  <c r="M50" i="2"/>
  <c r="M48" i="2"/>
  <c r="M46" i="2"/>
  <c r="M55" i="2"/>
  <c r="M25" i="2"/>
  <c r="M54" i="2"/>
  <c r="M41" i="2"/>
  <c r="M51" i="2"/>
  <c r="M58" i="2"/>
  <c r="M31" i="2"/>
  <c r="M39" i="2"/>
  <c r="M32" i="2"/>
  <c r="M38" i="2"/>
  <c r="M43" i="2"/>
  <c r="M53" i="2"/>
  <c r="M42" i="2"/>
  <c r="M17" i="2"/>
  <c r="M27" i="2"/>
  <c r="M11" i="2"/>
  <c r="M13" i="2"/>
  <c r="M30" i="2"/>
  <c r="M14" i="2"/>
  <c r="M19" i="2"/>
  <c r="M15" i="2"/>
  <c r="M22" i="2"/>
  <c r="M16" i="2"/>
  <c r="M60" i="2"/>
  <c r="M63" i="2"/>
  <c r="M62" i="2"/>
  <c r="M8" i="2"/>
  <c r="M34" i="2"/>
  <c r="M45" i="2"/>
  <c r="M37" i="2"/>
  <c r="M57" i="2"/>
  <c r="M56" i="2"/>
  <c r="M33" i="2"/>
  <c r="M59" i="2"/>
  <c r="M9" i="2"/>
  <c r="M49" i="2"/>
  <c r="M35" i="2"/>
  <c r="M40" i="2"/>
  <c r="M52" i="2"/>
  <c r="M44" i="2"/>
  <c r="M74" i="2" l="1"/>
  <c r="H77" i="2"/>
  <c r="I27" i="2"/>
  <c r="I10" i="2"/>
  <c r="N74" i="2" l="1"/>
  <c r="I7" i="2"/>
  <c r="I74" i="2" s="1"/>
  <c r="I77" i="2" s="1"/>
</calcChain>
</file>

<file path=xl/sharedStrings.xml><?xml version="1.0" encoding="utf-8"?>
<sst xmlns="http://schemas.openxmlformats.org/spreadsheetml/2006/main" count="163" uniqueCount="159">
  <si>
    <t>Paid/FTE</t>
  </si>
  <si>
    <t>Invoice #</t>
  </si>
  <si>
    <t>Employer Name</t>
  </si>
  <si>
    <t xml:space="preserve"> </t>
  </si>
  <si>
    <t>Finance Division</t>
  </si>
  <si>
    <t>Virginia Retirement System</t>
  </si>
  <si>
    <t>Employer Code</t>
  </si>
  <si>
    <t>Net Underpayment</t>
  </si>
  <si>
    <t>State</t>
  </si>
  <si>
    <t>Total</t>
  </si>
  <si>
    <t>Political Subs.</t>
  </si>
  <si>
    <t>Analysis of Line of Duty Contributions Required and Paid - Political Subdivisions</t>
  </si>
  <si>
    <t>Arlington County</t>
  </si>
  <si>
    <t>Gloucester County</t>
  </si>
  <si>
    <t>Greene County</t>
  </si>
  <si>
    <t>Nottoway County</t>
  </si>
  <si>
    <t>Russell County</t>
  </si>
  <si>
    <t>Capital Region Airport Commission</t>
  </si>
  <si>
    <t>Norfolk Airport Authority</t>
  </si>
  <si>
    <t>Piedmont Regional Jail</t>
  </si>
  <si>
    <t>Volunteer</t>
  </si>
  <si>
    <t>LODA Totals</t>
  </si>
  <si>
    <t>Proof</t>
  </si>
  <si>
    <t>Bristol, City</t>
  </si>
  <si>
    <t xml:space="preserve">Buchanan County </t>
  </si>
  <si>
    <t>Chesapeake, City</t>
  </si>
  <si>
    <t xml:space="preserve">Falls Church, City </t>
  </si>
  <si>
    <t>Franklin, City</t>
  </si>
  <si>
    <t xml:space="preserve">Lee County </t>
  </si>
  <si>
    <t>Manassas, City</t>
  </si>
  <si>
    <t>Manassas Park, City</t>
  </si>
  <si>
    <t xml:space="preserve">Norton, City </t>
  </si>
  <si>
    <t xml:space="preserve">Petersburg, City </t>
  </si>
  <si>
    <t>Portsmouth, City</t>
  </si>
  <si>
    <t>Radford, City</t>
  </si>
  <si>
    <t>Suffolk, City</t>
  </si>
  <si>
    <t>Virginia Beach, City</t>
  </si>
  <si>
    <t>Williamsburg, City</t>
  </si>
  <si>
    <t>Winchester, City</t>
  </si>
  <si>
    <t xml:space="preserve">Wise County </t>
  </si>
  <si>
    <t>Breaks Interstate Park</t>
  </si>
  <si>
    <t>Shenandoah Valley Regional Airport</t>
  </si>
  <si>
    <t>Peumansend Creek Regional Jail Authority</t>
  </si>
  <si>
    <t>Abingdon, Town</t>
  </si>
  <si>
    <t>Big Stone Gap, Town</t>
  </si>
  <si>
    <t>Boones Mill, Town</t>
  </si>
  <si>
    <t xml:space="preserve">Boydton, Town </t>
  </si>
  <si>
    <t>Brodnax, Town</t>
  </si>
  <si>
    <t>Chatham, Town</t>
  </si>
  <si>
    <t>Christiansburg, Town</t>
  </si>
  <si>
    <t>Courtland, Town</t>
  </si>
  <si>
    <t>Dumfries, Town</t>
  </si>
  <si>
    <t>Front Royal, Town</t>
  </si>
  <si>
    <t>Grundy, Town</t>
  </si>
  <si>
    <t xml:space="preserve">Hurt, Town </t>
  </si>
  <si>
    <t xml:space="preserve">Independence, Town </t>
  </si>
  <si>
    <t>Jonesville, Town</t>
  </si>
  <si>
    <t>LaCrosse, Town</t>
  </si>
  <si>
    <t>Luray, Town</t>
  </si>
  <si>
    <t>Orange, Town</t>
  </si>
  <si>
    <t>Pembroke, Town</t>
  </si>
  <si>
    <t xml:space="preserve">Pocahontas, Town </t>
  </si>
  <si>
    <t>Pound, Town</t>
  </si>
  <si>
    <t xml:space="preserve">Quantico, Town </t>
  </si>
  <si>
    <t>Remington, Town</t>
  </si>
  <si>
    <t>Richlands, Town</t>
  </si>
  <si>
    <t xml:space="preserve">Scottsville, Town </t>
  </si>
  <si>
    <t>Smithfield, Town</t>
  </si>
  <si>
    <t xml:space="preserve">South Boston, Town </t>
  </si>
  <si>
    <t>Tazewell, Town</t>
  </si>
  <si>
    <t>Vienna, Town</t>
  </si>
  <si>
    <t>Weber City, Town</t>
  </si>
  <si>
    <t>Woodstock, Town</t>
  </si>
  <si>
    <t>Wytheville, Town</t>
  </si>
  <si>
    <t>Rates</t>
  </si>
  <si>
    <t>Full Time</t>
  </si>
  <si>
    <t>Notes</t>
  </si>
  <si>
    <t>The full funding rate ($1298.79) will be used for fiscal years 2021 and 2022.</t>
  </si>
  <si>
    <t>Column M: The total percentage should equal the state percentage in Column I, Row 3.</t>
  </si>
  <si>
    <t>Column D: Include Full-Time and Part-Time</t>
  </si>
  <si>
    <t xml:space="preserve">The Proof line, will need to use LODA master file. </t>
  </si>
  <si>
    <t xml:space="preserve">Unhide Columns D &amp; E to update Participant Counts </t>
  </si>
  <si>
    <r>
      <t>Proportionate Share of 20</t>
    </r>
    <r>
      <rPr>
        <sz val="9"/>
        <color theme="1"/>
        <rFont val="Calibri"/>
        <family val="2"/>
        <scheme val="minor"/>
      </rPr>
      <t>25</t>
    </r>
    <r>
      <rPr>
        <b/>
        <sz val="9"/>
        <color theme="1"/>
        <rFont val="Calibri"/>
        <family val="2"/>
        <scheme val="minor"/>
      </rPr>
      <t xml:space="preserve"> Political Employer Contributions</t>
    </r>
  </si>
  <si>
    <t>Proportionate Share of 2025 Total Plan Contributions</t>
  </si>
  <si>
    <t>Pay-as-you go Rate for FTE $1,015.00</t>
  </si>
  <si>
    <t>FT/PT Paid</t>
  </si>
  <si>
    <t>Actuarially Determined Employer Contribution Rate (ADEC) $2017.33</t>
  </si>
  <si>
    <t>for the Fiscal Year Ended June 30, 2026</t>
  </si>
  <si>
    <t>FTI0000790</t>
  </si>
  <si>
    <t>FTI0000792</t>
  </si>
  <si>
    <t>FTI0000897</t>
  </si>
  <si>
    <t>FTI0000793</t>
  </si>
  <si>
    <t>FTI0000794</t>
  </si>
  <si>
    <t>FTI0000891</t>
  </si>
  <si>
    <t>FTI0000795</t>
  </si>
  <si>
    <t>FTI0000796</t>
  </si>
  <si>
    <t>FTI0000797</t>
  </si>
  <si>
    <t>FTI0000798</t>
  </si>
  <si>
    <t>FTI0000799</t>
  </si>
  <si>
    <t>FTI0000800</t>
  </si>
  <si>
    <t>FTI0000801</t>
  </si>
  <si>
    <t>FTI0000802</t>
  </si>
  <si>
    <t>FTI0000896</t>
  </si>
  <si>
    <t>FTI0000803</t>
  </si>
  <si>
    <t>FTI0000804</t>
  </si>
  <si>
    <t>FTI0000805</t>
  </si>
  <si>
    <t>FTI0000806</t>
  </si>
  <si>
    <t>FTI0000807</t>
  </si>
  <si>
    <t>FTI0000808</t>
  </si>
  <si>
    <t>FTI0000809</t>
  </si>
  <si>
    <t>FTI0000810</t>
  </si>
  <si>
    <t>FTI0000811</t>
  </si>
  <si>
    <t>FTI0000812</t>
  </si>
  <si>
    <t>FTI0000813</t>
  </si>
  <si>
    <t>FTI0000814</t>
  </si>
  <si>
    <t>FTI0000815</t>
  </si>
  <si>
    <t>FTI0000892</t>
  </si>
  <si>
    <t>FTI0000816</t>
  </si>
  <si>
    <t>FTI0000893</t>
  </si>
  <si>
    <t>FTI0000817</t>
  </si>
  <si>
    <t>FTI0000818</t>
  </si>
  <si>
    <t>FTI0000819</t>
  </si>
  <si>
    <t>FTI0000820</t>
  </si>
  <si>
    <t>FTI0000821</t>
  </si>
  <si>
    <t>FTI0000822</t>
  </si>
  <si>
    <t>FTI0000823</t>
  </si>
  <si>
    <t>FTI0000824</t>
  </si>
  <si>
    <t>FTI0000825</t>
  </si>
  <si>
    <t>FTI0000826</t>
  </si>
  <si>
    <t>FTI0000827</t>
  </si>
  <si>
    <t>FTI0000828</t>
  </si>
  <si>
    <t>FTI0000829</t>
  </si>
  <si>
    <t>FTI0000830</t>
  </si>
  <si>
    <t>FTI0000831</t>
  </si>
  <si>
    <t>FTI0000832</t>
  </si>
  <si>
    <t>FTI0000833</t>
  </si>
  <si>
    <t>FTI0000834</t>
  </si>
  <si>
    <t>FTI0000835</t>
  </si>
  <si>
    <t>FTI0000836</t>
  </si>
  <si>
    <t>FTI0000895</t>
  </si>
  <si>
    <t>FTI0000837</t>
  </si>
  <si>
    <t>FTI0000838</t>
  </si>
  <si>
    <t>FTI0000839</t>
  </si>
  <si>
    <t>FTI0000840</t>
  </si>
  <si>
    <t>FTI0000841</t>
  </si>
  <si>
    <t>FTI0000842</t>
  </si>
  <si>
    <t>FTI0000843</t>
  </si>
  <si>
    <t>Virginia Union University</t>
  </si>
  <si>
    <t>Liberty University</t>
  </si>
  <si>
    <t>Bridgewater College</t>
  </si>
  <si>
    <t>Regent University</t>
  </si>
  <si>
    <t>Lake Monticello Owners Assn.</t>
  </si>
  <si>
    <t>Wintergreen Property Owners Assn.</t>
  </si>
  <si>
    <t>FTI0000925</t>
  </si>
  <si>
    <t>FTI0000927</t>
  </si>
  <si>
    <t>FTI0000929</t>
  </si>
  <si>
    <t>FTI0000932</t>
  </si>
  <si>
    <t>FTI0000933</t>
  </si>
  <si>
    <t>FTI0000935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</si>
</sst>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43" fontId="3" fillId="0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/>
    <xf numFmtId="164" fontId="0" fillId="0" borderId="0" xfId="1" applyNumberFormat="1" applyFont="1"/>
    <xf numFmtId="164" fontId="2" fillId="0" borderId="2" xfId="1" applyNumberFormat="1" applyFont="1" applyBorder="1" applyAlignment="1">
      <alignment horizontal="center" vertical="center"/>
    </xf>
    <xf numFmtId="43" fontId="2" fillId="0" borderId="2" xfId="1" applyFont="1" applyBorder="1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0" applyNumberFormat="1"/>
    <xf numFmtId="43" fontId="2" fillId="0" borderId="3" xfId="1" applyFont="1" applyBorder="1" applyAlignment="1">
      <alignment horizontal="center"/>
    </xf>
    <xf numFmtId="165" fontId="0" fillId="0" borderId="0" xfId="2" applyNumberFormat="1" applyFont="1"/>
    <xf numFmtId="0" fontId="2" fillId="0" borderId="0" xfId="0" applyFont="1"/>
    <xf numFmtId="165" fontId="2" fillId="0" borderId="2" xfId="0" applyNumberFormat="1" applyFont="1" applyBorder="1"/>
    <xf numFmtId="165" fontId="5" fillId="0" borderId="0" xfId="2" applyNumberFormat="1" applyFont="1" applyAlignment="1">
      <alignment horizontal="center"/>
    </xf>
    <xf numFmtId="165" fontId="5" fillId="0" borderId="2" xfId="2" applyNumberFormat="1" applyFont="1" applyBorder="1" applyAlignment="1">
      <alignment horizontal="center"/>
    </xf>
    <xf numFmtId="0" fontId="0" fillId="0" borderId="0" xfId="0" applyAlignment="1">
      <alignment horizontal="right"/>
    </xf>
    <xf numFmtId="43" fontId="6" fillId="0" borderId="0" xfId="1" applyFont="1" applyAlignment="1"/>
    <xf numFmtId="43" fontId="5" fillId="0" borderId="0" xfId="1" applyFont="1" applyAlignment="1">
      <alignment horizontal="center"/>
    </xf>
    <xf numFmtId="0" fontId="6" fillId="0" borderId="0" xfId="0" applyFont="1" applyAlignment="1">
      <alignment vertical="center" wrapText="1"/>
    </xf>
    <xf numFmtId="43" fontId="5" fillId="0" borderId="2" xfId="1" applyFont="1" applyBorder="1" applyAlignment="1">
      <alignment horizontal="center"/>
    </xf>
    <xf numFmtId="43" fontId="3" fillId="0" borderId="0" xfId="1" applyFont="1" applyFill="1" applyBorder="1" applyAlignment="1">
      <alignment horizontal="center" vertical="center" wrapText="1"/>
    </xf>
    <xf numFmtId="165" fontId="0" fillId="0" borderId="0" xfId="2" applyNumberFormat="1" applyFont="1" applyBorder="1"/>
    <xf numFmtId="165" fontId="2" fillId="0" borderId="0" xfId="0" applyNumberFormat="1" applyFont="1"/>
    <xf numFmtId="165" fontId="0" fillId="0" borderId="0" xfId="2" applyNumberFormat="1" applyFont="1" applyFill="1" applyBorder="1"/>
    <xf numFmtId="164" fontId="0" fillId="0" borderId="0" xfId="0" applyNumberFormat="1" applyAlignment="1">
      <alignment horizontal="right"/>
    </xf>
    <xf numFmtId="43" fontId="2" fillId="0" borderId="0" xfId="1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0" fillId="0" borderId="0" xfId="0" applyNumberFormat="1"/>
    <xf numFmtId="3" fontId="0" fillId="0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164" fontId="2" fillId="0" borderId="1" xfId="1" applyNumberFormat="1" applyFont="1" applyFill="1" applyBorder="1" applyAlignment="1">
      <alignment horizontal="center" vertical="center" wrapText="1"/>
    </xf>
    <xf numFmtId="43" fontId="0" fillId="0" borderId="0" xfId="1" applyFont="1" applyFill="1"/>
    <xf numFmtId="164" fontId="2" fillId="0" borderId="2" xfId="1" applyNumberFormat="1" applyFont="1" applyFill="1" applyBorder="1" applyAlignment="1">
      <alignment horizontal="center" vertical="center"/>
    </xf>
    <xf numFmtId="43" fontId="2" fillId="0" borderId="2" xfId="1" applyFont="1" applyFill="1" applyBorder="1"/>
    <xf numFmtId="0" fontId="7" fillId="0" borderId="0" xfId="0" applyFont="1"/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zoomScaleNormal="100" workbookViewId="0">
      <selection activeCell="A3" sqref="A3"/>
    </sheetView>
  </sheetViews>
  <sheetFormatPr defaultRowHeight="14.4" x14ac:dyDescent="0.3"/>
  <cols>
    <col min="2" max="2" width="21.109375" style="4" bestFit="1" customWidth="1"/>
    <col min="3" max="3" width="38.33203125" bestFit="1" customWidth="1"/>
    <col min="4" max="5" width="9.6640625" style="18" customWidth="1"/>
    <col min="6" max="6" width="10.5546875" style="6" bestFit="1" customWidth="1"/>
    <col min="7" max="7" width="14.109375" style="5" bestFit="1" customWidth="1"/>
    <col min="8" max="8" width="15.33203125" style="5" bestFit="1" customWidth="1"/>
    <col min="9" max="9" width="14.5546875" customWidth="1"/>
    <col min="10" max="10" width="2.6640625" customWidth="1"/>
    <col min="11" max="11" width="13.88671875" customWidth="1"/>
    <col min="12" max="12" width="2.6640625" customWidth="1"/>
    <col min="13" max="13" width="13.88671875" customWidth="1"/>
    <col min="14" max="14" width="10.109375" bestFit="1" customWidth="1"/>
    <col min="16" max="16" width="9.109375" customWidth="1"/>
  </cols>
  <sheetData>
    <row r="1" spans="1:13" ht="15.6" x14ac:dyDescent="0.3">
      <c r="A1" s="9" t="s">
        <v>5</v>
      </c>
      <c r="F1" s="3"/>
      <c r="G1" s="2"/>
      <c r="H1" s="12" t="s">
        <v>21</v>
      </c>
    </row>
    <row r="2" spans="1:13" ht="15.6" x14ac:dyDescent="0.3">
      <c r="A2" s="9" t="s">
        <v>4</v>
      </c>
      <c r="F2" s="3"/>
      <c r="G2" s="19" t="s">
        <v>8</v>
      </c>
      <c r="H2" s="20">
        <v>10975601</v>
      </c>
      <c r="I2" s="16">
        <f>ROUND(H2/H4,7)</f>
        <v>0.57863880000000001</v>
      </c>
    </row>
    <row r="3" spans="1:13" ht="15.6" x14ac:dyDescent="0.3">
      <c r="A3" s="9" t="s">
        <v>11</v>
      </c>
      <c r="F3" s="3"/>
      <c r="G3" s="21" t="s">
        <v>10</v>
      </c>
      <c r="H3" s="20">
        <v>7992363.75</v>
      </c>
      <c r="I3" s="16">
        <f>ROUND(H3/H4,7)</f>
        <v>0.42136119999999999</v>
      </c>
    </row>
    <row r="4" spans="1:13" ht="16.2" thickBot="1" x14ac:dyDescent="0.35">
      <c r="A4" s="9" t="s">
        <v>87</v>
      </c>
      <c r="F4" s="3"/>
      <c r="G4" s="19" t="s">
        <v>9</v>
      </c>
      <c r="H4" s="22">
        <f>SUM(H2:H3)</f>
        <v>18967964.75</v>
      </c>
      <c r="I4" s="17">
        <f>SUM(I2:I3)</f>
        <v>1</v>
      </c>
    </row>
    <row r="5" spans="1:13" ht="15" thickTop="1" x14ac:dyDescent="0.3"/>
    <row r="6" spans="1:13" ht="60" x14ac:dyDescent="0.3">
      <c r="A6" s="35" t="s">
        <v>6</v>
      </c>
      <c r="B6" s="36" t="s">
        <v>1</v>
      </c>
      <c r="C6" s="36" t="s">
        <v>2</v>
      </c>
      <c r="D6" s="35" t="s">
        <v>85</v>
      </c>
      <c r="E6" s="36" t="s">
        <v>20</v>
      </c>
      <c r="F6" s="39" t="s">
        <v>0</v>
      </c>
      <c r="G6" s="1" t="s">
        <v>84</v>
      </c>
      <c r="H6" s="1" t="s">
        <v>86</v>
      </c>
      <c r="I6" s="1" t="s">
        <v>7</v>
      </c>
      <c r="J6" s="23"/>
      <c r="K6" s="1" t="s">
        <v>82</v>
      </c>
      <c r="L6" s="23"/>
      <c r="M6" s="1" t="s">
        <v>83</v>
      </c>
    </row>
    <row r="7" spans="1:13" x14ac:dyDescent="0.3">
      <c r="A7" s="10">
        <v>50001</v>
      </c>
      <c r="B7" s="10" t="s">
        <v>88</v>
      </c>
      <c r="C7" s="30" t="s">
        <v>12</v>
      </c>
      <c r="D7" s="34">
        <v>847</v>
      </c>
      <c r="E7">
        <v>31</v>
      </c>
      <c r="F7" s="40">
        <f t="shared" ref="F7:F38" si="0">D7+(E7*0.25)</f>
        <v>854.75</v>
      </c>
      <c r="G7" s="40">
        <f t="shared" ref="G7:G38" si="1">F7*1015</f>
        <v>867571.25</v>
      </c>
      <c r="H7" s="40">
        <f t="shared" ref="H7:H38" si="2">F7*2017.33</f>
        <v>1724312.8174999999</v>
      </c>
      <c r="I7" s="11">
        <f t="shared" ref="I7:I38" si="3">+G7-H7</f>
        <v>-856741.56749999989</v>
      </c>
      <c r="J7" s="24"/>
      <c r="K7" s="13">
        <f t="shared" ref="K7:K27" si="4">ROUND(G7/$H$3,7)</f>
        <v>0.10854999999999999</v>
      </c>
      <c r="L7" s="24"/>
      <c r="M7" s="13">
        <f t="shared" ref="M7:M27" si="5">ROUND(K7*$I$3,7)</f>
        <v>4.5738800000000003E-2</v>
      </c>
    </row>
    <row r="8" spans="1:13" x14ac:dyDescent="0.3">
      <c r="A8" s="10">
        <v>50025</v>
      </c>
      <c r="B8" s="10" t="s">
        <v>118</v>
      </c>
      <c r="C8" s="30" t="s">
        <v>45</v>
      </c>
      <c r="D8" s="33">
        <v>2</v>
      </c>
      <c r="E8"/>
      <c r="F8" s="40">
        <f t="shared" si="0"/>
        <v>2</v>
      </c>
      <c r="G8" s="40">
        <f t="shared" si="1"/>
        <v>2030</v>
      </c>
      <c r="H8" s="40">
        <f t="shared" si="2"/>
        <v>4034.66</v>
      </c>
      <c r="I8" s="11">
        <f t="shared" si="3"/>
        <v>-2004.6599999999999</v>
      </c>
      <c r="J8" s="24"/>
      <c r="K8" s="13">
        <f t="shared" si="4"/>
        <v>2.5399999999999999E-4</v>
      </c>
      <c r="L8" s="24"/>
      <c r="M8" s="13">
        <f t="shared" si="5"/>
        <v>1.07E-4</v>
      </c>
    </row>
    <row r="9" spans="1:13" x14ac:dyDescent="0.3">
      <c r="A9" s="10">
        <v>50026</v>
      </c>
      <c r="B9" s="10" t="s">
        <v>134</v>
      </c>
      <c r="C9" s="30" t="s">
        <v>61</v>
      </c>
      <c r="D9" s="33">
        <v>1</v>
      </c>
      <c r="E9"/>
      <c r="F9" s="40">
        <f t="shared" si="0"/>
        <v>1</v>
      </c>
      <c r="G9" s="40">
        <f t="shared" si="1"/>
        <v>1015</v>
      </c>
      <c r="H9" s="40">
        <f t="shared" si="2"/>
        <v>2017.33</v>
      </c>
      <c r="I9" s="11">
        <f t="shared" si="3"/>
        <v>-1002.3299999999999</v>
      </c>
      <c r="J9" s="24"/>
      <c r="K9" s="13">
        <f t="shared" si="4"/>
        <v>1.27E-4</v>
      </c>
      <c r="L9" s="24"/>
      <c r="M9" s="13">
        <f t="shared" si="5"/>
        <v>5.3499999999999999E-5</v>
      </c>
    </row>
    <row r="10" spans="1:13" x14ac:dyDescent="0.3">
      <c r="A10" s="32">
        <v>55113</v>
      </c>
      <c r="B10" s="10" t="s">
        <v>90</v>
      </c>
      <c r="C10" s="31" t="s">
        <v>24</v>
      </c>
      <c r="D10" s="34">
        <v>65</v>
      </c>
      <c r="E10" s="43">
        <v>109</v>
      </c>
      <c r="F10" s="40">
        <f t="shared" si="0"/>
        <v>92.25</v>
      </c>
      <c r="G10" s="40">
        <f t="shared" si="1"/>
        <v>93633.75</v>
      </c>
      <c r="H10" s="40">
        <f t="shared" si="2"/>
        <v>186098.6925</v>
      </c>
      <c r="I10" s="11">
        <f t="shared" si="3"/>
        <v>-92464.942500000005</v>
      </c>
      <c r="J10" s="24"/>
      <c r="K10" s="13">
        <f t="shared" si="4"/>
        <v>1.1715400000000001E-2</v>
      </c>
      <c r="L10" s="24"/>
      <c r="M10" s="13">
        <f t="shared" si="5"/>
        <v>4.9363999999999996E-3</v>
      </c>
    </row>
    <row r="11" spans="1:13" x14ac:dyDescent="0.3">
      <c r="A11" s="10">
        <v>55136</v>
      </c>
      <c r="B11" s="10" t="s">
        <v>94</v>
      </c>
      <c r="C11" s="30" t="s">
        <v>13</v>
      </c>
      <c r="D11" s="34">
        <v>86</v>
      </c>
      <c r="E11">
        <v>283</v>
      </c>
      <c r="F11" s="40">
        <f t="shared" si="0"/>
        <v>156.75</v>
      </c>
      <c r="G11" s="40">
        <f t="shared" si="1"/>
        <v>159101.25</v>
      </c>
      <c r="H11" s="40">
        <f t="shared" si="2"/>
        <v>316216.47749999998</v>
      </c>
      <c r="I11" s="11">
        <f t="shared" si="3"/>
        <v>-157115.22749999998</v>
      </c>
      <c r="J11" s="24"/>
      <c r="K11" s="13">
        <f t="shared" si="4"/>
        <v>1.9906699999999999E-2</v>
      </c>
      <c r="L11" s="24"/>
      <c r="M11" s="13">
        <f t="shared" si="5"/>
        <v>8.3879000000000002E-3</v>
      </c>
    </row>
    <row r="12" spans="1:13" x14ac:dyDescent="0.3">
      <c r="A12" s="10">
        <v>55139</v>
      </c>
      <c r="B12" s="10" t="s">
        <v>95</v>
      </c>
      <c r="C12" s="30" t="s">
        <v>14</v>
      </c>
      <c r="D12" s="34">
        <v>95</v>
      </c>
      <c r="E12">
        <v>54</v>
      </c>
      <c r="F12" s="40">
        <f t="shared" si="0"/>
        <v>108.5</v>
      </c>
      <c r="G12" s="40">
        <f t="shared" si="1"/>
        <v>110127.5</v>
      </c>
      <c r="H12" s="40">
        <f t="shared" si="2"/>
        <v>218880.30499999999</v>
      </c>
      <c r="I12" s="11">
        <f t="shared" si="3"/>
        <v>-108752.80499999999</v>
      </c>
      <c r="J12" s="24"/>
      <c r="K12" s="13">
        <f t="shared" si="4"/>
        <v>1.3779100000000001E-2</v>
      </c>
      <c r="L12" s="24"/>
      <c r="M12" s="13">
        <f t="shared" si="5"/>
        <v>5.8060000000000004E-3</v>
      </c>
    </row>
    <row r="13" spans="1:13" x14ac:dyDescent="0.3">
      <c r="A13" s="10">
        <v>55152</v>
      </c>
      <c r="B13" s="10" t="s">
        <v>96</v>
      </c>
      <c r="C13" s="30" t="s">
        <v>28</v>
      </c>
      <c r="D13" s="34">
        <v>36</v>
      </c>
      <c r="E13">
        <v>151</v>
      </c>
      <c r="F13" s="40">
        <f t="shared" si="0"/>
        <v>73.75</v>
      </c>
      <c r="G13" s="40">
        <f t="shared" si="1"/>
        <v>74856.25</v>
      </c>
      <c r="H13" s="40">
        <f t="shared" si="2"/>
        <v>148778.08749999999</v>
      </c>
      <c r="I13" s="11">
        <f t="shared" si="3"/>
        <v>-73921.837499999994</v>
      </c>
      <c r="J13" s="24"/>
      <c r="K13" s="13">
        <f t="shared" si="4"/>
        <v>9.3659999999999993E-3</v>
      </c>
      <c r="L13" s="24"/>
      <c r="M13" s="13">
        <f t="shared" si="5"/>
        <v>3.9465000000000004E-3</v>
      </c>
    </row>
    <row r="14" spans="1:13" x14ac:dyDescent="0.3">
      <c r="A14" s="10">
        <v>55167</v>
      </c>
      <c r="B14" s="10" t="s">
        <v>100</v>
      </c>
      <c r="C14" s="30" t="s">
        <v>15</v>
      </c>
      <c r="D14" s="34">
        <v>28</v>
      </c>
      <c r="E14">
        <v>19</v>
      </c>
      <c r="F14" s="40">
        <f t="shared" si="0"/>
        <v>32.75</v>
      </c>
      <c r="G14" s="40">
        <f t="shared" si="1"/>
        <v>33241.25</v>
      </c>
      <c r="H14" s="40">
        <f t="shared" si="2"/>
        <v>66067.557499999995</v>
      </c>
      <c r="I14" s="11">
        <f t="shared" si="3"/>
        <v>-32826.307499999995</v>
      </c>
      <c r="J14" s="24"/>
      <c r="K14" s="13">
        <f t="shared" si="4"/>
        <v>4.1590999999999998E-3</v>
      </c>
      <c r="L14" s="24"/>
      <c r="M14" s="13">
        <f t="shared" si="5"/>
        <v>1.7524999999999999E-3</v>
      </c>
    </row>
    <row r="15" spans="1:13" x14ac:dyDescent="0.3">
      <c r="A15" s="10">
        <v>55183</v>
      </c>
      <c r="B15" s="10" t="s">
        <v>104</v>
      </c>
      <c r="C15" s="30" t="s">
        <v>16</v>
      </c>
      <c r="D15" s="34">
        <v>57</v>
      </c>
      <c r="E15">
        <v>192</v>
      </c>
      <c r="F15" s="40">
        <f t="shared" si="0"/>
        <v>105</v>
      </c>
      <c r="G15" s="40">
        <f t="shared" si="1"/>
        <v>106575</v>
      </c>
      <c r="H15" s="40">
        <f t="shared" si="2"/>
        <v>211819.65</v>
      </c>
      <c r="I15" s="11">
        <f t="shared" si="3"/>
        <v>-105244.65</v>
      </c>
      <c r="J15" s="24"/>
      <c r="K15" s="13">
        <f t="shared" si="4"/>
        <v>1.33346E-2</v>
      </c>
      <c r="L15" s="24"/>
      <c r="M15" s="13">
        <f t="shared" si="5"/>
        <v>5.6186999999999999E-3</v>
      </c>
    </row>
    <row r="16" spans="1:13" x14ac:dyDescent="0.3">
      <c r="A16" s="10">
        <v>55197</v>
      </c>
      <c r="B16" s="10" t="s">
        <v>109</v>
      </c>
      <c r="C16" s="30" t="s">
        <v>39</v>
      </c>
      <c r="D16" s="34">
        <v>69</v>
      </c>
      <c r="E16">
        <v>191</v>
      </c>
      <c r="F16" s="40">
        <f t="shared" si="0"/>
        <v>116.75</v>
      </c>
      <c r="G16" s="40">
        <f t="shared" si="1"/>
        <v>118501.25</v>
      </c>
      <c r="H16" s="40">
        <f t="shared" si="2"/>
        <v>235523.2775</v>
      </c>
      <c r="I16" s="11">
        <f t="shared" si="3"/>
        <v>-117022.0275</v>
      </c>
      <c r="J16" s="26"/>
      <c r="K16" s="13">
        <f t="shared" si="4"/>
        <v>1.4826799999999999E-2</v>
      </c>
      <c r="L16" s="26"/>
      <c r="M16" s="13">
        <f t="shared" si="5"/>
        <v>6.2474000000000002E-3</v>
      </c>
    </row>
    <row r="17" spans="1:13" x14ac:dyDescent="0.3">
      <c r="A17" s="10">
        <v>55201</v>
      </c>
      <c r="B17" s="10" t="s">
        <v>89</v>
      </c>
      <c r="C17" s="30" t="s">
        <v>23</v>
      </c>
      <c r="D17" s="34">
        <v>152</v>
      </c>
      <c r="E17">
        <v>10</v>
      </c>
      <c r="F17" s="40">
        <f t="shared" si="0"/>
        <v>154.5</v>
      </c>
      <c r="G17" s="40">
        <f t="shared" si="1"/>
        <v>156817.5</v>
      </c>
      <c r="H17" s="40">
        <f t="shared" si="2"/>
        <v>311677.48499999999</v>
      </c>
      <c r="I17" s="11">
        <f t="shared" si="3"/>
        <v>-154859.98499999999</v>
      </c>
      <c r="J17" s="24"/>
      <c r="K17" s="13">
        <f t="shared" si="4"/>
        <v>1.96209E-2</v>
      </c>
      <c r="L17" s="24"/>
      <c r="M17" s="13">
        <f t="shared" si="5"/>
        <v>8.2675000000000005E-3</v>
      </c>
    </row>
    <row r="18" spans="1:13" x14ac:dyDescent="0.3">
      <c r="A18" s="10">
        <v>55213</v>
      </c>
      <c r="B18" s="10" t="s">
        <v>101</v>
      </c>
      <c r="C18" s="30" t="s">
        <v>32</v>
      </c>
      <c r="D18" s="34">
        <v>205</v>
      </c>
      <c r="E18"/>
      <c r="F18" s="40">
        <f t="shared" si="0"/>
        <v>205</v>
      </c>
      <c r="G18" s="40">
        <f t="shared" si="1"/>
        <v>208075</v>
      </c>
      <c r="H18" s="40">
        <f t="shared" si="2"/>
        <v>413552.64999999997</v>
      </c>
      <c r="I18" s="11">
        <f t="shared" si="3"/>
        <v>-205477.64999999997</v>
      </c>
      <c r="J18" s="24"/>
      <c r="K18" s="13">
        <f t="shared" si="4"/>
        <v>2.60342E-2</v>
      </c>
      <c r="L18" s="24"/>
      <c r="M18" s="13">
        <f t="shared" si="5"/>
        <v>1.09698E-2</v>
      </c>
    </row>
    <row r="19" spans="1:13" x14ac:dyDescent="0.3">
      <c r="A19" s="10">
        <v>55214</v>
      </c>
      <c r="B19" s="10" t="s">
        <v>102</v>
      </c>
      <c r="C19" s="30" t="s">
        <v>33</v>
      </c>
      <c r="D19" s="34">
        <v>558</v>
      </c>
      <c r="E19"/>
      <c r="F19" s="40">
        <f t="shared" si="0"/>
        <v>558</v>
      </c>
      <c r="G19" s="40">
        <f t="shared" si="1"/>
        <v>566370</v>
      </c>
      <c r="H19" s="40">
        <f t="shared" si="2"/>
        <v>1125670.1399999999</v>
      </c>
      <c r="I19" s="11">
        <f t="shared" si="3"/>
        <v>-559300.1399999999</v>
      </c>
      <c r="J19" s="24"/>
      <c r="K19" s="13">
        <f t="shared" si="4"/>
        <v>7.0863899999999994E-2</v>
      </c>
      <c r="L19" s="24"/>
      <c r="M19" s="13">
        <f t="shared" si="5"/>
        <v>2.9859299999999998E-2</v>
      </c>
    </row>
    <row r="20" spans="1:13" x14ac:dyDescent="0.3">
      <c r="A20" s="10">
        <v>55215</v>
      </c>
      <c r="B20" s="10" t="s">
        <v>103</v>
      </c>
      <c r="C20" s="30" t="s">
        <v>34</v>
      </c>
      <c r="D20" s="34">
        <v>95</v>
      </c>
      <c r="E20">
        <v>6</v>
      </c>
      <c r="F20" s="40">
        <f t="shared" si="0"/>
        <v>96.5</v>
      </c>
      <c r="G20" s="40">
        <f t="shared" si="1"/>
        <v>97947.5</v>
      </c>
      <c r="H20" s="40">
        <f t="shared" si="2"/>
        <v>194672.345</v>
      </c>
      <c r="I20" s="11">
        <f t="shared" si="3"/>
        <v>-96724.845000000001</v>
      </c>
      <c r="J20" s="24"/>
      <c r="K20" s="13">
        <f t="shared" si="4"/>
        <v>1.22551E-2</v>
      </c>
      <c r="L20" s="24"/>
      <c r="M20" s="13">
        <f t="shared" si="5"/>
        <v>5.1637999999999996E-3</v>
      </c>
    </row>
    <row r="21" spans="1:13" x14ac:dyDescent="0.3">
      <c r="A21" s="10">
        <v>55220</v>
      </c>
      <c r="B21" s="10" t="s">
        <v>105</v>
      </c>
      <c r="C21" s="30" t="s">
        <v>35</v>
      </c>
      <c r="D21" s="34">
        <v>559</v>
      </c>
      <c r="E21"/>
      <c r="F21" s="40">
        <f t="shared" si="0"/>
        <v>559</v>
      </c>
      <c r="G21" s="40">
        <f t="shared" si="1"/>
        <v>567385</v>
      </c>
      <c r="H21" s="40">
        <f t="shared" si="2"/>
        <v>1127687.47</v>
      </c>
      <c r="I21" s="11">
        <f t="shared" si="3"/>
        <v>-560302.47</v>
      </c>
      <c r="J21" s="24"/>
      <c r="K21" s="13">
        <f t="shared" si="4"/>
        <v>7.0990899999999996E-2</v>
      </c>
      <c r="L21" s="24"/>
      <c r="M21" s="13">
        <f t="shared" si="5"/>
        <v>2.99128E-2</v>
      </c>
    </row>
    <row r="22" spans="1:13" x14ac:dyDescent="0.3">
      <c r="A22" s="10">
        <v>55221</v>
      </c>
      <c r="B22" s="10" t="s">
        <v>107</v>
      </c>
      <c r="C22" s="30" t="s">
        <v>37</v>
      </c>
      <c r="D22" s="34">
        <v>85</v>
      </c>
      <c r="E22">
        <v>24</v>
      </c>
      <c r="F22" s="40">
        <f t="shared" si="0"/>
        <v>91</v>
      </c>
      <c r="G22" s="40">
        <f t="shared" si="1"/>
        <v>92365</v>
      </c>
      <c r="H22" s="40">
        <f t="shared" si="2"/>
        <v>183577.03</v>
      </c>
      <c r="I22" s="11">
        <f t="shared" si="3"/>
        <v>-91212.03</v>
      </c>
      <c r="J22" s="24"/>
      <c r="K22" s="13">
        <f t="shared" si="4"/>
        <v>1.15567E-2</v>
      </c>
      <c r="L22" s="24"/>
      <c r="M22" s="13">
        <f t="shared" si="5"/>
        <v>4.8694999999999997E-3</v>
      </c>
    </row>
    <row r="23" spans="1:13" x14ac:dyDescent="0.3">
      <c r="A23" s="10">
        <v>55222</v>
      </c>
      <c r="B23" s="10" t="s">
        <v>108</v>
      </c>
      <c r="C23" s="30" t="s">
        <v>38</v>
      </c>
      <c r="D23" s="34">
        <v>189</v>
      </c>
      <c r="E23">
        <v>17</v>
      </c>
      <c r="F23" s="40">
        <f t="shared" si="0"/>
        <v>193.25</v>
      </c>
      <c r="G23" s="40">
        <f t="shared" si="1"/>
        <v>196148.75</v>
      </c>
      <c r="H23" s="40">
        <f t="shared" si="2"/>
        <v>389849.02249999996</v>
      </c>
      <c r="I23" s="11">
        <f t="shared" si="3"/>
        <v>-193700.27249999996</v>
      </c>
      <c r="J23" s="24"/>
      <c r="K23" s="13">
        <f t="shared" si="4"/>
        <v>2.4542000000000001E-2</v>
      </c>
      <c r="L23" s="24"/>
      <c r="M23" s="13">
        <f t="shared" si="5"/>
        <v>1.0340999999999999E-2</v>
      </c>
    </row>
    <row r="24" spans="1:13" x14ac:dyDescent="0.3">
      <c r="A24" s="10">
        <v>55224</v>
      </c>
      <c r="B24" s="10" t="s">
        <v>92</v>
      </c>
      <c r="C24" s="30" t="s">
        <v>26</v>
      </c>
      <c r="D24" s="34">
        <v>44</v>
      </c>
      <c r="E24">
        <v>29</v>
      </c>
      <c r="F24" s="40">
        <f t="shared" si="0"/>
        <v>51.25</v>
      </c>
      <c r="G24" s="40">
        <f t="shared" si="1"/>
        <v>52018.75</v>
      </c>
      <c r="H24" s="40">
        <f t="shared" si="2"/>
        <v>103388.16249999999</v>
      </c>
      <c r="I24" s="11">
        <f t="shared" si="3"/>
        <v>-51369.412499999991</v>
      </c>
      <c r="J24" s="24"/>
      <c r="K24" s="13">
        <f t="shared" si="4"/>
        <v>6.5085999999999998E-3</v>
      </c>
      <c r="L24" s="24"/>
      <c r="M24" s="13">
        <f t="shared" si="5"/>
        <v>2.7425000000000001E-3</v>
      </c>
    </row>
    <row r="25" spans="1:13" x14ac:dyDescent="0.3">
      <c r="A25" s="10">
        <v>55226</v>
      </c>
      <c r="B25" s="10" t="s">
        <v>125</v>
      </c>
      <c r="C25" s="30" t="s">
        <v>52</v>
      </c>
      <c r="D25" s="33">
        <v>33</v>
      </c>
      <c r="E25"/>
      <c r="F25" s="40">
        <f t="shared" si="0"/>
        <v>33</v>
      </c>
      <c r="G25" s="40">
        <f t="shared" si="1"/>
        <v>33495</v>
      </c>
      <c r="H25" s="40">
        <f t="shared" si="2"/>
        <v>66571.89</v>
      </c>
      <c r="I25" s="11">
        <f t="shared" si="3"/>
        <v>-33076.89</v>
      </c>
      <c r="J25" s="24"/>
      <c r="K25" s="13">
        <f t="shared" si="4"/>
        <v>4.1909E-3</v>
      </c>
      <c r="L25" s="24"/>
      <c r="M25" s="13">
        <f t="shared" si="5"/>
        <v>1.7658999999999999E-3</v>
      </c>
    </row>
    <row r="26" spans="1:13" x14ac:dyDescent="0.3">
      <c r="A26" s="10">
        <v>55232</v>
      </c>
      <c r="B26" s="10" t="s">
        <v>93</v>
      </c>
      <c r="C26" s="30" t="s">
        <v>27</v>
      </c>
      <c r="D26" s="34">
        <v>92</v>
      </c>
      <c r="E26">
        <v>41</v>
      </c>
      <c r="F26" s="40">
        <f t="shared" si="0"/>
        <v>102.25</v>
      </c>
      <c r="G26" s="40">
        <f t="shared" si="1"/>
        <v>103783.75</v>
      </c>
      <c r="H26" s="40">
        <f t="shared" si="2"/>
        <v>206271.99249999999</v>
      </c>
      <c r="I26" s="11">
        <f t="shared" si="3"/>
        <v>-102488.24249999999</v>
      </c>
      <c r="J26" s="24"/>
      <c r="K26" s="13">
        <f t="shared" si="4"/>
        <v>1.2985399999999999E-2</v>
      </c>
      <c r="L26" s="24"/>
      <c r="M26" s="13">
        <f t="shared" si="5"/>
        <v>5.4714999999999998E-3</v>
      </c>
    </row>
    <row r="27" spans="1:13" x14ac:dyDescent="0.3">
      <c r="A27" s="10">
        <v>55233</v>
      </c>
      <c r="B27" s="10" t="s">
        <v>91</v>
      </c>
      <c r="C27" s="30" t="s">
        <v>25</v>
      </c>
      <c r="D27" s="34">
        <v>1235</v>
      </c>
      <c r="E27">
        <v>1</v>
      </c>
      <c r="F27" s="40">
        <f t="shared" si="0"/>
        <v>1235.25</v>
      </c>
      <c r="G27" s="40">
        <f t="shared" si="1"/>
        <v>1253778.75</v>
      </c>
      <c r="H27" s="40">
        <f t="shared" si="2"/>
        <v>2491906.8824999998</v>
      </c>
      <c r="I27" s="11">
        <f t="shared" si="3"/>
        <v>-1238128.1324999998</v>
      </c>
      <c r="J27" s="24"/>
      <c r="K27" s="13">
        <f t="shared" si="4"/>
        <v>0.15687209999999999</v>
      </c>
      <c r="L27" s="24"/>
      <c r="M27" s="13">
        <f t="shared" si="5"/>
        <v>6.60998E-2</v>
      </c>
    </row>
    <row r="28" spans="1:13" x14ac:dyDescent="0.3">
      <c r="A28" s="10">
        <v>55234</v>
      </c>
      <c r="B28" s="10" t="s">
        <v>106</v>
      </c>
      <c r="C28" s="30" t="s">
        <v>36</v>
      </c>
      <c r="D28" s="34">
        <v>1801</v>
      </c>
      <c r="E28">
        <v>394</v>
      </c>
      <c r="F28" s="40">
        <f t="shared" si="0"/>
        <v>1899.5</v>
      </c>
      <c r="G28" s="40">
        <f t="shared" si="1"/>
        <v>1927992.5</v>
      </c>
      <c r="H28" s="40">
        <f t="shared" si="2"/>
        <v>3831918.335</v>
      </c>
      <c r="I28" s="11">
        <f t="shared" si="3"/>
        <v>-1903925.835</v>
      </c>
      <c r="J28" s="24"/>
      <c r="K28" s="13">
        <f>ROUND(G28/$H$3,7)-0.0000002</f>
        <v>0.2412291</v>
      </c>
      <c r="L28" s="24"/>
      <c r="M28" s="13">
        <f>ROUND(K28*$I$3,7)+0.0000002</f>
        <v>0.10164480000000001</v>
      </c>
    </row>
    <row r="29" spans="1:13" x14ac:dyDescent="0.3">
      <c r="A29" s="10">
        <v>55235</v>
      </c>
      <c r="B29" s="10" t="s">
        <v>99</v>
      </c>
      <c r="C29" s="30" t="s">
        <v>31</v>
      </c>
      <c r="D29" s="34">
        <v>33</v>
      </c>
      <c r="E29">
        <v>27</v>
      </c>
      <c r="F29" s="40">
        <f t="shared" si="0"/>
        <v>39.75</v>
      </c>
      <c r="G29" s="40">
        <f t="shared" si="1"/>
        <v>40346.25</v>
      </c>
      <c r="H29" s="40">
        <f t="shared" si="2"/>
        <v>80188.867499999993</v>
      </c>
      <c r="I29" s="11">
        <f t="shared" si="3"/>
        <v>-39842.617499999993</v>
      </c>
      <c r="J29" s="24"/>
      <c r="K29" s="13">
        <f t="shared" ref="K29:K71" si="6">ROUND(G29/$H$3,7)</f>
        <v>5.0480999999999998E-3</v>
      </c>
      <c r="L29" s="24"/>
      <c r="M29" s="13">
        <f t="shared" ref="M29:M71" si="7">ROUND(K29*$I$3,7)</f>
        <v>2.1270999999999998E-3</v>
      </c>
    </row>
    <row r="30" spans="1:13" x14ac:dyDescent="0.3">
      <c r="A30" s="10">
        <v>55236</v>
      </c>
      <c r="B30" s="10" t="s">
        <v>98</v>
      </c>
      <c r="C30" s="30" t="s">
        <v>30</v>
      </c>
      <c r="D30" s="34">
        <v>83</v>
      </c>
      <c r="E30"/>
      <c r="F30" s="40">
        <f t="shared" si="0"/>
        <v>83</v>
      </c>
      <c r="G30" s="40">
        <f t="shared" si="1"/>
        <v>84245</v>
      </c>
      <c r="H30" s="40">
        <f t="shared" si="2"/>
        <v>167438.38999999998</v>
      </c>
      <c r="I30" s="11">
        <f t="shared" si="3"/>
        <v>-83193.389999999985</v>
      </c>
      <c r="J30" s="24"/>
      <c r="K30" s="13">
        <f t="shared" si="6"/>
        <v>1.05407E-2</v>
      </c>
      <c r="L30" s="24"/>
      <c r="M30" s="13">
        <f t="shared" si="7"/>
        <v>4.4413999999999999E-3</v>
      </c>
    </row>
    <row r="31" spans="1:13" x14ac:dyDescent="0.3">
      <c r="A31" s="10">
        <v>55238</v>
      </c>
      <c r="B31" s="10" t="s">
        <v>135</v>
      </c>
      <c r="C31" s="30" t="s">
        <v>62</v>
      </c>
      <c r="D31" s="33">
        <v>3</v>
      </c>
      <c r="E31"/>
      <c r="F31" s="40">
        <f t="shared" si="0"/>
        <v>3</v>
      </c>
      <c r="G31" s="40">
        <f t="shared" si="1"/>
        <v>3045</v>
      </c>
      <c r="H31" s="40">
        <f t="shared" si="2"/>
        <v>6051.99</v>
      </c>
      <c r="I31" s="11">
        <f t="shared" si="3"/>
        <v>-3006.99</v>
      </c>
      <c r="J31" s="24"/>
      <c r="K31" s="13">
        <f t="shared" si="6"/>
        <v>3.8099999999999999E-4</v>
      </c>
      <c r="L31" s="24"/>
      <c r="M31" s="13">
        <f t="shared" si="7"/>
        <v>1.605E-4</v>
      </c>
    </row>
    <row r="32" spans="1:13" x14ac:dyDescent="0.3">
      <c r="A32" s="10">
        <v>55245</v>
      </c>
      <c r="B32" s="10" t="s">
        <v>139</v>
      </c>
      <c r="C32" s="30" t="s">
        <v>66</v>
      </c>
      <c r="D32" s="33">
        <v>4</v>
      </c>
      <c r="E32"/>
      <c r="F32" s="40">
        <f t="shared" si="0"/>
        <v>4</v>
      </c>
      <c r="G32" s="40">
        <f t="shared" si="1"/>
        <v>4060</v>
      </c>
      <c r="H32" s="40">
        <f t="shared" si="2"/>
        <v>8069.32</v>
      </c>
      <c r="I32" s="11">
        <f t="shared" si="3"/>
        <v>-4009.3199999999997</v>
      </c>
      <c r="J32" s="24"/>
      <c r="K32" s="13">
        <f t="shared" si="6"/>
        <v>5.0799999999999999E-4</v>
      </c>
      <c r="L32" s="24"/>
      <c r="M32" s="13">
        <f t="shared" si="7"/>
        <v>2.141E-4</v>
      </c>
    </row>
    <row r="33" spans="1:13" x14ac:dyDescent="0.3">
      <c r="A33" s="10">
        <v>55249</v>
      </c>
      <c r="B33" s="10" t="s">
        <v>130</v>
      </c>
      <c r="C33" s="30" t="s">
        <v>57</v>
      </c>
      <c r="D33" s="33">
        <v>1</v>
      </c>
      <c r="E33"/>
      <c r="F33" s="40">
        <f t="shared" si="0"/>
        <v>1</v>
      </c>
      <c r="G33" s="40">
        <f t="shared" si="1"/>
        <v>1015</v>
      </c>
      <c r="H33" s="40">
        <f t="shared" si="2"/>
        <v>2017.33</v>
      </c>
      <c r="I33" s="11">
        <f t="shared" si="3"/>
        <v>-1002.3299999999999</v>
      </c>
      <c r="J33" s="24"/>
      <c r="K33" s="13">
        <f t="shared" si="6"/>
        <v>1.27E-4</v>
      </c>
      <c r="L33" s="24"/>
      <c r="M33" s="13">
        <f t="shared" si="7"/>
        <v>5.3499999999999999E-5</v>
      </c>
    </row>
    <row r="34" spans="1:13" x14ac:dyDescent="0.3">
      <c r="A34" s="10">
        <v>55255</v>
      </c>
      <c r="B34" s="10" t="s">
        <v>120</v>
      </c>
      <c r="C34" s="30" t="s">
        <v>47</v>
      </c>
      <c r="D34" s="33">
        <v>1</v>
      </c>
      <c r="E34"/>
      <c r="F34" s="40">
        <f t="shared" si="0"/>
        <v>1</v>
      </c>
      <c r="G34" s="40">
        <f t="shared" si="1"/>
        <v>1015</v>
      </c>
      <c r="H34" s="40">
        <f t="shared" si="2"/>
        <v>2017.33</v>
      </c>
      <c r="I34" s="11">
        <f t="shared" si="3"/>
        <v>-1002.3299999999999</v>
      </c>
      <c r="J34" s="24"/>
      <c r="K34" s="13">
        <f t="shared" si="6"/>
        <v>1.27E-4</v>
      </c>
      <c r="L34" s="24"/>
      <c r="M34" s="13">
        <f t="shared" si="7"/>
        <v>5.3499999999999999E-5</v>
      </c>
    </row>
    <row r="35" spans="1:13" x14ac:dyDescent="0.3">
      <c r="A35" s="10">
        <v>55259</v>
      </c>
      <c r="B35" s="10" t="s">
        <v>138</v>
      </c>
      <c r="C35" s="30" t="s">
        <v>65</v>
      </c>
      <c r="D35" s="33">
        <v>45</v>
      </c>
      <c r="E35"/>
      <c r="F35" s="40">
        <f t="shared" si="0"/>
        <v>45</v>
      </c>
      <c r="G35" s="40">
        <f t="shared" si="1"/>
        <v>45675</v>
      </c>
      <c r="H35" s="40">
        <f t="shared" si="2"/>
        <v>90779.849999999991</v>
      </c>
      <c r="I35" s="11">
        <f t="shared" si="3"/>
        <v>-45104.849999999991</v>
      </c>
      <c r="J35" s="24"/>
      <c r="K35" s="13">
        <f t="shared" si="6"/>
        <v>5.7147999999999999E-3</v>
      </c>
      <c r="L35" s="24"/>
      <c r="M35" s="13">
        <f t="shared" si="7"/>
        <v>2.408E-3</v>
      </c>
    </row>
    <row r="36" spans="1:13" x14ac:dyDescent="0.3">
      <c r="A36" s="10">
        <v>55300</v>
      </c>
      <c r="B36" s="10" t="s">
        <v>116</v>
      </c>
      <c r="C36" s="30" t="s">
        <v>43</v>
      </c>
      <c r="D36" s="33">
        <v>26</v>
      </c>
      <c r="E36"/>
      <c r="F36" s="40">
        <f t="shared" si="0"/>
        <v>26</v>
      </c>
      <c r="G36" s="40">
        <f t="shared" si="1"/>
        <v>26390</v>
      </c>
      <c r="H36" s="40">
        <f t="shared" si="2"/>
        <v>52450.58</v>
      </c>
      <c r="I36" s="11">
        <f t="shared" si="3"/>
        <v>-26060.58</v>
      </c>
      <c r="J36" s="24"/>
      <c r="K36" s="13">
        <f t="shared" si="6"/>
        <v>3.3019E-3</v>
      </c>
      <c r="L36" s="24"/>
      <c r="M36" s="13">
        <f t="shared" si="7"/>
        <v>1.3913E-3</v>
      </c>
    </row>
    <row r="37" spans="1:13" x14ac:dyDescent="0.3">
      <c r="A37" s="10">
        <v>55301</v>
      </c>
      <c r="B37" s="10" t="s">
        <v>124</v>
      </c>
      <c r="C37" s="30" t="s">
        <v>51</v>
      </c>
      <c r="D37" s="33">
        <v>17</v>
      </c>
      <c r="E37"/>
      <c r="F37" s="40">
        <f t="shared" si="0"/>
        <v>17</v>
      </c>
      <c r="G37" s="40">
        <f t="shared" si="1"/>
        <v>17255</v>
      </c>
      <c r="H37" s="40">
        <f t="shared" si="2"/>
        <v>34294.61</v>
      </c>
      <c r="I37" s="11">
        <f t="shared" si="3"/>
        <v>-17039.61</v>
      </c>
      <c r="J37" s="24"/>
      <c r="K37" s="13">
        <f t="shared" si="6"/>
        <v>2.1589000000000001E-3</v>
      </c>
      <c r="L37" s="24"/>
      <c r="M37" s="13">
        <f t="shared" si="7"/>
        <v>9.0970000000000005E-4</v>
      </c>
    </row>
    <row r="38" spans="1:13" x14ac:dyDescent="0.3">
      <c r="A38" s="10">
        <v>55304</v>
      </c>
      <c r="B38" s="10" t="s">
        <v>141</v>
      </c>
      <c r="C38" s="30" t="s">
        <v>68</v>
      </c>
      <c r="D38" s="33">
        <v>41</v>
      </c>
      <c r="E38"/>
      <c r="F38" s="40">
        <f t="shared" si="0"/>
        <v>41</v>
      </c>
      <c r="G38" s="40">
        <f t="shared" si="1"/>
        <v>41615</v>
      </c>
      <c r="H38" s="40">
        <f t="shared" si="2"/>
        <v>82710.53</v>
      </c>
      <c r="I38" s="11">
        <f t="shared" si="3"/>
        <v>-41095.53</v>
      </c>
      <c r="J38" s="24"/>
      <c r="K38" s="13">
        <f t="shared" si="6"/>
        <v>5.2068000000000001E-3</v>
      </c>
      <c r="L38" s="24"/>
      <c r="M38" s="13">
        <f t="shared" si="7"/>
        <v>2.1938999999999999E-3</v>
      </c>
    </row>
    <row r="39" spans="1:13" x14ac:dyDescent="0.3">
      <c r="A39" s="10">
        <v>55306</v>
      </c>
      <c r="B39" s="10" t="s">
        <v>137</v>
      </c>
      <c r="C39" s="30" t="s">
        <v>64</v>
      </c>
      <c r="D39" s="33">
        <v>4</v>
      </c>
      <c r="E39"/>
      <c r="F39" s="40">
        <f t="shared" ref="F39:F70" si="8">D39+(E39*0.25)</f>
        <v>4</v>
      </c>
      <c r="G39" s="40">
        <f t="shared" ref="G39:G70" si="9">F39*1015</f>
        <v>4060</v>
      </c>
      <c r="H39" s="40">
        <f t="shared" ref="H39:H71" si="10">F39*2017.33</f>
        <v>8069.32</v>
      </c>
      <c r="I39" s="11">
        <f t="shared" ref="I39:I70" si="11">+G39-H39</f>
        <v>-4009.3199999999997</v>
      </c>
      <c r="J39" s="24"/>
      <c r="K39" s="13">
        <f t="shared" si="6"/>
        <v>5.0799999999999999E-4</v>
      </c>
      <c r="L39" s="24"/>
      <c r="M39" s="13">
        <f t="shared" si="7"/>
        <v>2.141E-4</v>
      </c>
    </row>
    <row r="40" spans="1:13" x14ac:dyDescent="0.3">
      <c r="A40" s="10">
        <v>55310</v>
      </c>
      <c r="B40" s="10" t="s">
        <v>140</v>
      </c>
      <c r="C40" s="30" t="s">
        <v>67</v>
      </c>
      <c r="D40" s="33">
        <v>21</v>
      </c>
      <c r="E40"/>
      <c r="F40" s="40">
        <f t="shared" si="8"/>
        <v>21</v>
      </c>
      <c r="G40" s="40">
        <f t="shared" si="9"/>
        <v>21315</v>
      </c>
      <c r="H40" s="40">
        <f t="shared" si="10"/>
        <v>42363.93</v>
      </c>
      <c r="I40" s="11">
        <f t="shared" si="11"/>
        <v>-21048.93</v>
      </c>
      <c r="J40" s="24"/>
      <c r="K40" s="13">
        <f t="shared" si="6"/>
        <v>2.6668999999999998E-3</v>
      </c>
      <c r="L40" s="24"/>
      <c r="M40" s="13">
        <f t="shared" si="7"/>
        <v>1.1237E-3</v>
      </c>
    </row>
    <row r="41" spans="1:13" x14ac:dyDescent="0.3">
      <c r="A41" s="10">
        <v>55314</v>
      </c>
      <c r="B41" s="10" t="s">
        <v>129</v>
      </c>
      <c r="C41" s="30" t="s">
        <v>56</v>
      </c>
      <c r="D41" s="33">
        <v>2</v>
      </c>
      <c r="E41"/>
      <c r="F41" s="40">
        <f t="shared" si="8"/>
        <v>2</v>
      </c>
      <c r="G41" s="40">
        <f t="shared" si="9"/>
        <v>2030</v>
      </c>
      <c r="H41" s="40">
        <f t="shared" si="10"/>
        <v>4034.66</v>
      </c>
      <c r="I41" s="11">
        <f t="shared" si="11"/>
        <v>-2004.6599999999999</v>
      </c>
      <c r="J41" s="24"/>
      <c r="K41" s="13">
        <f t="shared" si="6"/>
        <v>2.5399999999999999E-4</v>
      </c>
      <c r="L41" s="24"/>
      <c r="M41" s="13">
        <f t="shared" si="7"/>
        <v>1.07E-4</v>
      </c>
    </row>
    <row r="42" spans="1:13" x14ac:dyDescent="0.3">
      <c r="A42" s="10">
        <v>55315</v>
      </c>
      <c r="B42" s="10" t="s">
        <v>146</v>
      </c>
      <c r="C42" s="30" t="s">
        <v>73</v>
      </c>
      <c r="D42" s="33">
        <v>64</v>
      </c>
      <c r="E42"/>
      <c r="F42" s="40">
        <f t="shared" si="8"/>
        <v>64</v>
      </c>
      <c r="G42" s="40">
        <f t="shared" si="9"/>
        <v>64960</v>
      </c>
      <c r="H42" s="40">
        <f t="shared" si="10"/>
        <v>129109.12</v>
      </c>
      <c r="I42" s="11">
        <f t="shared" si="11"/>
        <v>-64149.119999999995</v>
      </c>
      <c r="J42" s="24"/>
      <c r="K42" s="13">
        <f t="shared" si="6"/>
        <v>8.1277999999999993E-3</v>
      </c>
      <c r="L42" s="24"/>
      <c r="M42" s="13">
        <f t="shared" si="7"/>
        <v>3.4247000000000001E-3</v>
      </c>
    </row>
    <row r="43" spans="1:13" x14ac:dyDescent="0.3">
      <c r="A43" s="10">
        <v>55317</v>
      </c>
      <c r="B43" s="10" t="s">
        <v>143</v>
      </c>
      <c r="C43" s="30" t="s">
        <v>70</v>
      </c>
      <c r="D43" s="33">
        <v>40</v>
      </c>
      <c r="E43"/>
      <c r="F43" s="40">
        <f t="shared" si="8"/>
        <v>40</v>
      </c>
      <c r="G43" s="40">
        <f t="shared" si="9"/>
        <v>40600</v>
      </c>
      <c r="H43" s="40">
        <f t="shared" si="10"/>
        <v>80693.2</v>
      </c>
      <c r="I43" s="11">
        <f t="shared" si="11"/>
        <v>-40093.199999999997</v>
      </c>
      <c r="J43" s="24"/>
      <c r="K43" s="13">
        <f t="shared" si="6"/>
        <v>5.0797999999999998E-3</v>
      </c>
      <c r="L43" s="24"/>
      <c r="M43" s="13">
        <f t="shared" si="7"/>
        <v>2.1404000000000002E-3</v>
      </c>
    </row>
    <row r="44" spans="1:13" x14ac:dyDescent="0.3">
      <c r="A44" s="10">
        <v>55321</v>
      </c>
      <c r="B44" s="10" t="s">
        <v>145</v>
      </c>
      <c r="C44" s="30" t="s">
        <v>72</v>
      </c>
      <c r="D44" s="33">
        <v>20</v>
      </c>
      <c r="E44"/>
      <c r="F44" s="40">
        <f t="shared" si="8"/>
        <v>20</v>
      </c>
      <c r="G44" s="40">
        <f t="shared" si="9"/>
        <v>20300</v>
      </c>
      <c r="H44" s="40">
        <f t="shared" si="10"/>
        <v>40346.6</v>
      </c>
      <c r="I44" s="11">
        <f t="shared" si="11"/>
        <v>-20046.599999999999</v>
      </c>
      <c r="J44" s="24"/>
      <c r="K44" s="13">
        <f t="shared" si="6"/>
        <v>2.5398999999999999E-3</v>
      </c>
      <c r="L44" s="24"/>
      <c r="M44" s="13">
        <f t="shared" si="7"/>
        <v>1.0702000000000001E-3</v>
      </c>
    </row>
    <row r="45" spans="1:13" x14ac:dyDescent="0.3">
      <c r="A45" s="10">
        <v>55327</v>
      </c>
      <c r="B45" s="10" t="s">
        <v>122</v>
      </c>
      <c r="C45" s="30" t="s">
        <v>49</v>
      </c>
      <c r="D45" s="33">
        <v>117</v>
      </c>
      <c r="E45">
        <v>37</v>
      </c>
      <c r="F45" s="40">
        <f t="shared" si="8"/>
        <v>126.25</v>
      </c>
      <c r="G45" s="40">
        <f t="shared" si="9"/>
        <v>128143.75</v>
      </c>
      <c r="H45" s="40">
        <f t="shared" si="10"/>
        <v>254687.91249999998</v>
      </c>
      <c r="I45" s="11">
        <f t="shared" si="11"/>
        <v>-126544.16249999998</v>
      </c>
      <c r="J45" s="24"/>
      <c r="K45" s="13">
        <f t="shared" si="6"/>
        <v>1.60333E-2</v>
      </c>
      <c r="L45" s="24"/>
      <c r="M45" s="13">
        <f t="shared" si="7"/>
        <v>6.7558000000000002E-3</v>
      </c>
    </row>
    <row r="46" spans="1:13" x14ac:dyDescent="0.3">
      <c r="A46" s="10">
        <v>55330</v>
      </c>
      <c r="B46" s="10" t="s">
        <v>121</v>
      </c>
      <c r="C46" s="30" t="s">
        <v>48</v>
      </c>
      <c r="D46" s="33">
        <v>3</v>
      </c>
      <c r="E46"/>
      <c r="F46" s="40">
        <f t="shared" si="8"/>
        <v>3</v>
      </c>
      <c r="G46" s="40">
        <f t="shared" si="9"/>
        <v>3045</v>
      </c>
      <c r="H46" s="40">
        <f t="shared" si="10"/>
        <v>6051.99</v>
      </c>
      <c r="I46" s="11">
        <f t="shared" si="11"/>
        <v>-3006.99</v>
      </c>
      <c r="J46" s="24"/>
      <c r="K46" s="13">
        <f t="shared" si="6"/>
        <v>3.8099999999999999E-4</v>
      </c>
      <c r="L46" s="24"/>
      <c r="M46" s="13">
        <f t="shared" si="7"/>
        <v>1.605E-4</v>
      </c>
    </row>
    <row r="47" spans="1:13" x14ac:dyDescent="0.3">
      <c r="A47" s="10">
        <v>55332</v>
      </c>
      <c r="B47" s="10" t="s">
        <v>97</v>
      </c>
      <c r="C47" s="30" t="s">
        <v>29</v>
      </c>
      <c r="D47" s="34">
        <v>159</v>
      </c>
      <c r="E47">
        <v>37</v>
      </c>
      <c r="F47" s="40">
        <f t="shared" si="8"/>
        <v>168.25</v>
      </c>
      <c r="G47" s="40">
        <f t="shared" si="9"/>
        <v>170773.75</v>
      </c>
      <c r="H47" s="40">
        <f t="shared" si="10"/>
        <v>339415.77249999996</v>
      </c>
      <c r="I47" s="11">
        <f t="shared" si="11"/>
        <v>-168642.02249999996</v>
      </c>
      <c r="J47" s="24"/>
      <c r="K47" s="13">
        <f t="shared" si="6"/>
        <v>2.13671E-2</v>
      </c>
      <c r="L47" s="24"/>
      <c r="M47" s="13">
        <f t="shared" si="7"/>
        <v>9.0033000000000005E-3</v>
      </c>
    </row>
    <row r="48" spans="1:13" x14ac:dyDescent="0.3">
      <c r="A48" s="10">
        <v>55334</v>
      </c>
      <c r="B48" s="10" t="s">
        <v>119</v>
      </c>
      <c r="C48" s="30" t="s">
        <v>46</v>
      </c>
      <c r="D48" s="33">
        <v>1</v>
      </c>
      <c r="E48"/>
      <c r="F48" s="40">
        <f t="shared" si="8"/>
        <v>1</v>
      </c>
      <c r="G48" s="40">
        <f t="shared" si="9"/>
        <v>1015</v>
      </c>
      <c r="H48" s="40">
        <f t="shared" si="10"/>
        <v>2017.33</v>
      </c>
      <c r="I48" s="11">
        <f t="shared" si="11"/>
        <v>-1002.3299999999999</v>
      </c>
      <c r="J48" s="24"/>
      <c r="K48" s="13">
        <f t="shared" si="6"/>
        <v>1.27E-4</v>
      </c>
      <c r="L48" s="24"/>
      <c r="M48" s="13">
        <f t="shared" si="7"/>
        <v>5.3499999999999999E-5</v>
      </c>
    </row>
    <row r="49" spans="1:13" x14ac:dyDescent="0.3">
      <c r="A49" s="10">
        <v>55338</v>
      </c>
      <c r="B49" s="10" t="s">
        <v>136</v>
      </c>
      <c r="C49" s="30" t="s">
        <v>63</v>
      </c>
      <c r="D49" s="33">
        <v>2</v>
      </c>
      <c r="E49"/>
      <c r="F49" s="40">
        <f t="shared" si="8"/>
        <v>2</v>
      </c>
      <c r="G49" s="40">
        <f t="shared" si="9"/>
        <v>2030</v>
      </c>
      <c r="H49" s="40">
        <f t="shared" si="10"/>
        <v>4034.66</v>
      </c>
      <c r="I49" s="11">
        <f t="shared" si="11"/>
        <v>-2004.6599999999999</v>
      </c>
      <c r="J49" s="24"/>
      <c r="K49" s="13">
        <f t="shared" si="6"/>
        <v>2.5399999999999999E-4</v>
      </c>
      <c r="L49" s="24"/>
      <c r="M49" s="13">
        <f t="shared" si="7"/>
        <v>1.07E-4</v>
      </c>
    </row>
    <row r="50" spans="1:13" x14ac:dyDescent="0.3">
      <c r="A50" s="10">
        <v>55354</v>
      </c>
      <c r="B50" s="10" t="s">
        <v>117</v>
      </c>
      <c r="C50" s="30" t="s">
        <v>44</v>
      </c>
      <c r="D50" s="33">
        <v>13</v>
      </c>
      <c r="E50"/>
      <c r="F50" s="40">
        <f t="shared" si="8"/>
        <v>13</v>
      </c>
      <c r="G50" s="40">
        <f t="shared" si="9"/>
        <v>13195</v>
      </c>
      <c r="H50" s="40">
        <f t="shared" si="10"/>
        <v>26225.29</v>
      </c>
      <c r="I50" s="11">
        <f t="shared" si="11"/>
        <v>-13030.29</v>
      </c>
      <c r="J50" s="24"/>
      <c r="K50" s="13">
        <f t="shared" si="6"/>
        <v>1.6509999999999999E-3</v>
      </c>
      <c r="L50" s="24"/>
      <c r="M50" s="13">
        <f t="shared" si="7"/>
        <v>6.9570000000000005E-4</v>
      </c>
    </row>
    <row r="51" spans="1:13" x14ac:dyDescent="0.3">
      <c r="A51" s="10">
        <v>55355</v>
      </c>
      <c r="B51" s="10" t="s">
        <v>131</v>
      </c>
      <c r="C51" s="30" t="s">
        <v>58</v>
      </c>
      <c r="D51" s="33">
        <v>14</v>
      </c>
      <c r="E51"/>
      <c r="F51" s="40">
        <f t="shared" si="8"/>
        <v>14</v>
      </c>
      <c r="G51" s="40">
        <f t="shared" si="9"/>
        <v>14210</v>
      </c>
      <c r="H51" s="40">
        <f t="shared" si="10"/>
        <v>28242.62</v>
      </c>
      <c r="I51" s="11">
        <f t="shared" si="11"/>
        <v>-14032.619999999999</v>
      </c>
      <c r="J51" s="24"/>
      <c r="K51" s="13">
        <f t="shared" si="6"/>
        <v>1.7779E-3</v>
      </c>
      <c r="L51" s="24"/>
      <c r="M51" s="13">
        <f t="shared" si="7"/>
        <v>7.4910000000000005E-4</v>
      </c>
    </row>
    <row r="52" spans="1:13" x14ac:dyDescent="0.3">
      <c r="A52" s="10">
        <v>55369</v>
      </c>
      <c r="B52" s="10" t="s">
        <v>142</v>
      </c>
      <c r="C52" s="30" t="s">
        <v>69</v>
      </c>
      <c r="D52" s="33">
        <v>41</v>
      </c>
      <c r="E52">
        <v>24</v>
      </c>
      <c r="F52" s="40">
        <f t="shared" si="8"/>
        <v>47</v>
      </c>
      <c r="G52" s="40">
        <f t="shared" si="9"/>
        <v>47705</v>
      </c>
      <c r="H52" s="40">
        <f t="shared" si="10"/>
        <v>94814.51</v>
      </c>
      <c r="I52" s="11">
        <f t="shared" si="11"/>
        <v>-47109.509999999995</v>
      </c>
      <c r="J52" s="24"/>
      <c r="K52" s="13">
        <f t="shared" si="6"/>
        <v>5.9687999999999998E-3</v>
      </c>
      <c r="L52" s="24"/>
      <c r="M52" s="13">
        <f t="shared" si="7"/>
        <v>2.5149999999999999E-3</v>
      </c>
    </row>
    <row r="53" spans="1:13" x14ac:dyDescent="0.3">
      <c r="A53" s="10">
        <v>55372</v>
      </c>
      <c r="B53" s="10" t="s">
        <v>144</v>
      </c>
      <c r="C53" s="30" t="s">
        <v>71</v>
      </c>
      <c r="D53" s="33">
        <v>7</v>
      </c>
      <c r="E53"/>
      <c r="F53" s="40">
        <f t="shared" si="8"/>
        <v>7</v>
      </c>
      <c r="G53" s="40">
        <f t="shared" si="9"/>
        <v>7105</v>
      </c>
      <c r="H53" s="40">
        <f t="shared" si="10"/>
        <v>14121.31</v>
      </c>
      <c r="I53" s="11">
        <f t="shared" si="11"/>
        <v>-7016.3099999999995</v>
      </c>
      <c r="J53" s="24"/>
      <c r="K53" s="13">
        <f t="shared" si="6"/>
        <v>8.8900000000000003E-4</v>
      </c>
      <c r="L53" s="24"/>
      <c r="M53" s="13">
        <f t="shared" si="7"/>
        <v>3.746E-4</v>
      </c>
    </row>
    <row r="54" spans="1:13" x14ac:dyDescent="0.3">
      <c r="A54" s="10">
        <v>55374</v>
      </c>
      <c r="B54" s="10" t="s">
        <v>127</v>
      </c>
      <c r="C54" s="30" t="s">
        <v>54</v>
      </c>
      <c r="D54" s="33">
        <v>2</v>
      </c>
      <c r="E54"/>
      <c r="F54" s="40">
        <f t="shared" si="8"/>
        <v>2</v>
      </c>
      <c r="G54" s="40">
        <f t="shared" si="9"/>
        <v>2030</v>
      </c>
      <c r="H54" s="40">
        <f t="shared" si="10"/>
        <v>4034.66</v>
      </c>
      <c r="I54" s="11">
        <f t="shared" si="11"/>
        <v>-2004.6599999999999</v>
      </c>
      <c r="J54" s="24"/>
      <c r="K54" s="13">
        <f t="shared" si="6"/>
        <v>2.5399999999999999E-4</v>
      </c>
      <c r="L54" s="24"/>
      <c r="M54" s="13">
        <f t="shared" si="7"/>
        <v>1.07E-4</v>
      </c>
    </row>
    <row r="55" spans="1:13" x14ac:dyDescent="0.3">
      <c r="A55" s="10">
        <v>55378</v>
      </c>
      <c r="B55" s="10" t="s">
        <v>123</v>
      </c>
      <c r="C55" s="30" t="s">
        <v>50</v>
      </c>
      <c r="D55" s="33">
        <v>2</v>
      </c>
      <c r="E55"/>
      <c r="F55" s="40">
        <f t="shared" si="8"/>
        <v>2</v>
      </c>
      <c r="G55" s="40">
        <f t="shared" si="9"/>
        <v>2030</v>
      </c>
      <c r="H55" s="40">
        <f t="shared" si="10"/>
        <v>4034.66</v>
      </c>
      <c r="I55" s="11">
        <f t="shared" si="11"/>
        <v>-2004.6599999999999</v>
      </c>
      <c r="J55" s="24"/>
      <c r="K55" s="13">
        <f t="shared" si="6"/>
        <v>2.5399999999999999E-4</v>
      </c>
      <c r="L55" s="24"/>
      <c r="M55" s="13">
        <f t="shared" si="7"/>
        <v>1.07E-4</v>
      </c>
    </row>
    <row r="56" spans="1:13" x14ac:dyDescent="0.3">
      <c r="A56" s="10">
        <v>55380</v>
      </c>
      <c r="B56" s="10" t="s">
        <v>128</v>
      </c>
      <c r="C56" s="30" t="s">
        <v>55</v>
      </c>
      <c r="D56" s="33">
        <v>5</v>
      </c>
      <c r="E56"/>
      <c r="F56" s="40">
        <f t="shared" si="8"/>
        <v>5</v>
      </c>
      <c r="G56" s="40">
        <f t="shared" si="9"/>
        <v>5075</v>
      </c>
      <c r="H56" s="40">
        <f t="shared" si="10"/>
        <v>10086.65</v>
      </c>
      <c r="I56" s="11">
        <f t="shared" si="11"/>
        <v>-5011.6499999999996</v>
      </c>
      <c r="J56" s="24"/>
      <c r="K56" s="13">
        <f t="shared" si="6"/>
        <v>6.3500000000000004E-4</v>
      </c>
      <c r="L56" s="24"/>
      <c r="M56" s="13">
        <f t="shared" si="7"/>
        <v>2.676E-4</v>
      </c>
    </row>
    <row r="57" spans="1:13" x14ac:dyDescent="0.3">
      <c r="A57" s="10">
        <v>55382</v>
      </c>
      <c r="B57" s="10" t="s">
        <v>126</v>
      </c>
      <c r="C57" s="30" t="s">
        <v>53</v>
      </c>
      <c r="D57" s="33">
        <v>7</v>
      </c>
      <c r="E57"/>
      <c r="F57" s="40">
        <f t="shared" si="8"/>
        <v>7</v>
      </c>
      <c r="G57" s="40">
        <f t="shared" si="9"/>
        <v>7105</v>
      </c>
      <c r="H57" s="40">
        <f t="shared" si="10"/>
        <v>14121.31</v>
      </c>
      <c r="I57" s="11">
        <f t="shared" si="11"/>
        <v>-7016.3099999999995</v>
      </c>
      <c r="J57" s="24"/>
      <c r="K57" s="13">
        <f t="shared" si="6"/>
        <v>8.8900000000000003E-4</v>
      </c>
      <c r="L57" s="24"/>
      <c r="M57" s="13">
        <f t="shared" si="7"/>
        <v>3.746E-4</v>
      </c>
    </row>
    <row r="58" spans="1:13" x14ac:dyDescent="0.3">
      <c r="A58" s="10">
        <v>55389</v>
      </c>
      <c r="B58" s="10" t="s">
        <v>133</v>
      </c>
      <c r="C58" s="30" t="s">
        <v>60</v>
      </c>
      <c r="D58" s="33">
        <v>4</v>
      </c>
      <c r="E58"/>
      <c r="F58" s="40">
        <f t="shared" si="8"/>
        <v>4</v>
      </c>
      <c r="G58" s="40">
        <f t="shared" si="9"/>
        <v>4060</v>
      </c>
      <c r="H58" s="40">
        <f t="shared" si="10"/>
        <v>8069.32</v>
      </c>
      <c r="I58" s="11">
        <f t="shared" si="11"/>
        <v>-4009.3199999999997</v>
      </c>
      <c r="J58" s="24"/>
      <c r="K58" s="13">
        <f t="shared" si="6"/>
        <v>5.0799999999999999E-4</v>
      </c>
      <c r="L58" s="24"/>
      <c r="M58" s="13">
        <f t="shared" si="7"/>
        <v>2.141E-4</v>
      </c>
    </row>
    <row r="59" spans="1:13" x14ac:dyDescent="0.3">
      <c r="A59" s="10">
        <v>55397</v>
      </c>
      <c r="B59" s="10" t="s">
        <v>132</v>
      </c>
      <c r="C59" s="30" t="s">
        <v>59</v>
      </c>
      <c r="D59" s="33">
        <v>14</v>
      </c>
      <c r="E59"/>
      <c r="F59" s="40">
        <f t="shared" si="8"/>
        <v>14</v>
      </c>
      <c r="G59" s="40">
        <f t="shared" si="9"/>
        <v>14210</v>
      </c>
      <c r="H59" s="40">
        <f t="shared" si="10"/>
        <v>28242.62</v>
      </c>
      <c r="I59" s="11">
        <f t="shared" si="11"/>
        <v>-14032.619999999999</v>
      </c>
      <c r="J59" s="24"/>
      <c r="K59" s="13">
        <f t="shared" si="6"/>
        <v>1.7779E-3</v>
      </c>
      <c r="L59" s="24"/>
      <c r="M59" s="13">
        <f t="shared" si="7"/>
        <v>7.4910000000000005E-4</v>
      </c>
    </row>
    <row r="60" spans="1:13" x14ac:dyDescent="0.3">
      <c r="A60" s="10">
        <v>55417</v>
      </c>
      <c r="B60" s="10" t="s">
        <v>111</v>
      </c>
      <c r="C60" s="30" t="s">
        <v>18</v>
      </c>
      <c r="D60" s="33">
        <v>61</v>
      </c>
      <c r="E60"/>
      <c r="F60" s="40">
        <f t="shared" si="8"/>
        <v>61</v>
      </c>
      <c r="G60" s="40">
        <f t="shared" si="9"/>
        <v>61915</v>
      </c>
      <c r="H60" s="40">
        <f t="shared" si="10"/>
        <v>123057.12999999999</v>
      </c>
      <c r="I60" s="11">
        <f t="shared" si="11"/>
        <v>-61142.12999999999</v>
      </c>
      <c r="J60" s="24"/>
      <c r="K60" s="13">
        <f t="shared" si="6"/>
        <v>7.7467999999999999E-3</v>
      </c>
      <c r="L60" s="24"/>
      <c r="M60" s="13">
        <f t="shared" si="7"/>
        <v>3.2642000000000001E-3</v>
      </c>
    </row>
    <row r="61" spans="1:13" x14ac:dyDescent="0.3">
      <c r="A61" s="10">
        <v>55487</v>
      </c>
      <c r="B61" s="10" t="s">
        <v>110</v>
      </c>
      <c r="C61" s="30" t="s">
        <v>17</v>
      </c>
      <c r="D61" s="33">
        <v>40</v>
      </c>
      <c r="E61"/>
      <c r="F61" s="40">
        <f t="shared" si="8"/>
        <v>40</v>
      </c>
      <c r="G61" s="40">
        <f t="shared" si="9"/>
        <v>40600</v>
      </c>
      <c r="H61" s="40">
        <f t="shared" si="10"/>
        <v>80693.2</v>
      </c>
      <c r="I61" s="11">
        <f t="shared" si="11"/>
        <v>-40093.199999999997</v>
      </c>
      <c r="J61" s="24"/>
      <c r="K61" s="13">
        <f t="shared" si="6"/>
        <v>5.0797999999999998E-3</v>
      </c>
      <c r="L61" s="24"/>
      <c r="M61" s="13">
        <f t="shared" si="7"/>
        <v>2.1404000000000002E-3</v>
      </c>
    </row>
    <row r="62" spans="1:13" x14ac:dyDescent="0.3">
      <c r="A62" s="10">
        <v>55858</v>
      </c>
      <c r="B62" s="10" t="s">
        <v>115</v>
      </c>
      <c r="C62" s="30" t="s">
        <v>42</v>
      </c>
      <c r="D62" s="33">
        <v>77</v>
      </c>
      <c r="E62"/>
      <c r="F62" s="40">
        <f t="shared" si="8"/>
        <v>77</v>
      </c>
      <c r="G62" s="40">
        <f t="shared" si="9"/>
        <v>78155</v>
      </c>
      <c r="H62" s="40">
        <f t="shared" si="10"/>
        <v>155334.41</v>
      </c>
      <c r="I62" s="11">
        <f t="shared" si="11"/>
        <v>-77179.41</v>
      </c>
      <c r="J62" s="24"/>
      <c r="K62" s="13">
        <f t="shared" si="6"/>
        <v>9.7786999999999995E-3</v>
      </c>
      <c r="L62" s="24"/>
      <c r="M62" s="13">
        <f t="shared" si="7"/>
        <v>4.1203999999999998E-3</v>
      </c>
    </row>
    <row r="63" spans="1:13" x14ac:dyDescent="0.3">
      <c r="A63" s="10">
        <v>55861</v>
      </c>
      <c r="B63" s="10" t="s">
        <v>113</v>
      </c>
      <c r="C63" s="30" t="s">
        <v>40</v>
      </c>
      <c r="D63" s="33">
        <v>2</v>
      </c>
      <c r="E63"/>
      <c r="F63" s="40">
        <f t="shared" si="8"/>
        <v>2</v>
      </c>
      <c r="G63" s="40">
        <f t="shared" si="9"/>
        <v>2030</v>
      </c>
      <c r="H63" s="40">
        <f t="shared" si="10"/>
        <v>4034.66</v>
      </c>
      <c r="I63" s="11">
        <f t="shared" si="11"/>
        <v>-2004.6599999999999</v>
      </c>
      <c r="J63" s="24"/>
      <c r="K63" s="13">
        <f t="shared" si="6"/>
        <v>2.5399999999999999E-4</v>
      </c>
      <c r="L63" s="24"/>
      <c r="M63" s="13">
        <f t="shared" si="7"/>
        <v>1.07E-4</v>
      </c>
    </row>
    <row r="64" spans="1:13" x14ac:dyDescent="0.3">
      <c r="A64" s="10">
        <v>55899</v>
      </c>
      <c r="B64" s="10" t="s">
        <v>114</v>
      </c>
      <c r="C64" s="30" t="s">
        <v>41</v>
      </c>
      <c r="D64" s="33">
        <v>13</v>
      </c>
      <c r="E64"/>
      <c r="F64" s="40">
        <f t="shared" si="8"/>
        <v>13</v>
      </c>
      <c r="G64" s="40">
        <f t="shared" si="9"/>
        <v>13195</v>
      </c>
      <c r="H64" s="40">
        <f t="shared" si="10"/>
        <v>26225.29</v>
      </c>
      <c r="I64" s="11">
        <f t="shared" si="11"/>
        <v>-13030.29</v>
      </c>
      <c r="J64" s="24"/>
      <c r="K64" s="13">
        <f t="shared" si="6"/>
        <v>1.6509999999999999E-3</v>
      </c>
      <c r="L64" s="24"/>
      <c r="M64" s="13">
        <f t="shared" si="7"/>
        <v>6.9570000000000005E-4</v>
      </c>
    </row>
    <row r="65" spans="1:14" s="14" customFormat="1" x14ac:dyDescent="0.3">
      <c r="A65" s="10">
        <v>55922</v>
      </c>
      <c r="B65" s="10" t="s">
        <v>112</v>
      </c>
      <c r="C65" s="30" t="s">
        <v>19</v>
      </c>
      <c r="D65" s="33">
        <v>85</v>
      </c>
      <c r="E65"/>
      <c r="F65" s="40">
        <f t="shared" si="8"/>
        <v>85</v>
      </c>
      <c r="G65" s="40">
        <f t="shared" si="9"/>
        <v>86275</v>
      </c>
      <c r="H65" s="40">
        <f t="shared" si="10"/>
        <v>171473.05</v>
      </c>
      <c r="I65" s="11">
        <f t="shared" si="11"/>
        <v>-85198.049999999988</v>
      </c>
      <c r="J65" s="24"/>
      <c r="K65" s="13">
        <f t="shared" si="6"/>
        <v>1.0794700000000001E-2</v>
      </c>
      <c r="L65" s="24"/>
      <c r="M65" s="13">
        <f t="shared" si="7"/>
        <v>4.5484999999999996E-3</v>
      </c>
    </row>
    <row r="66" spans="1:14" s="14" customFormat="1" x14ac:dyDescent="0.3">
      <c r="A66" s="10">
        <v>60000</v>
      </c>
      <c r="B66" s="10" t="s">
        <v>158</v>
      </c>
      <c r="C66" s="30" t="s">
        <v>152</v>
      </c>
      <c r="D66" s="33">
        <v>14</v>
      </c>
      <c r="E66"/>
      <c r="F66" s="40">
        <f t="shared" si="8"/>
        <v>14</v>
      </c>
      <c r="G66" s="40">
        <f t="shared" ref="G66:G71" si="12">F66*507.5</f>
        <v>7105</v>
      </c>
      <c r="H66" s="40">
        <f t="shared" si="10"/>
        <v>28242.62</v>
      </c>
      <c r="I66" s="11">
        <f t="shared" si="11"/>
        <v>-21137.62</v>
      </c>
      <c r="J66" s="24"/>
      <c r="K66" s="13">
        <f t="shared" si="6"/>
        <v>8.8900000000000003E-4</v>
      </c>
      <c r="L66" s="24"/>
      <c r="M66" s="13">
        <f t="shared" si="7"/>
        <v>3.746E-4</v>
      </c>
    </row>
    <row r="67" spans="1:14" s="14" customFormat="1" x14ac:dyDescent="0.3">
      <c r="A67" s="10">
        <v>60001</v>
      </c>
      <c r="B67" s="10" t="s">
        <v>157</v>
      </c>
      <c r="C67" s="30" t="s">
        <v>151</v>
      </c>
      <c r="D67" s="33">
        <v>5</v>
      </c>
      <c r="E67"/>
      <c r="F67" s="40">
        <f t="shared" si="8"/>
        <v>5</v>
      </c>
      <c r="G67" s="40">
        <f t="shared" si="12"/>
        <v>2537.5</v>
      </c>
      <c r="H67" s="40">
        <f t="shared" si="10"/>
        <v>10086.65</v>
      </c>
      <c r="I67" s="11">
        <f t="shared" si="11"/>
        <v>-7549.15</v>
      </c>
      <c r="J67" s="24"/>
      <c r="K67" s="13">
        <f t="shared" si="6"/>
        <v>3.1750000000000002E-4</v>
      </c>
      <c r="L67" s="24"/>
      <c r="M67" s="13">
        <f t="shared" si="7"/>
        <v>1.338E-4</v>
      </c>
    </row>
    <row r="68" spans="1:14" s="14" customFormat="1" x14ac:dyDescent="0.3">
      <c r="A68" s="10">
        <v>60002</v>
      </c>
      <c r="B68" s="10" t="s">
        <v>156</v>
      </c>
      <c r="C68" s="30" t="s">
        <v>150</v>
      </c>
      <c r="D68" s="33">
        <v>15</v>
      </c>
      <c r="E68"/>
      <c r="F68" s="40">
        <f t="shared" si="8"/>
        <v>15</v>
      </c>
      <c r="G68" s="40">
        <f t="shared" si="12"/>
        <v>7612.5</v>
      </c>
      <c r="H68" s="40">
        <f t="shared" si="10"/>
        <v>30259.949999999997</v>
      </c>
      <c r="I68" s="11">
        <f t="shared" si="11"/>
        <v>-22647.449999999997</v>
      </c>
      <c r="J68" s="24"/>
      <c r="K68" s="13">
        <f t="shared" si="6"/>
        <v>9.525E-4</v>
      </c>
      <c r="L68" s="24"/>
      <c r="M68" s="13">
        <f t="shared" si="7"/>
        <v>4.013E-4</v>
      </c>
    </row>
    <row r="69" spans="1:14" s="14" customFormat="1" x14ac:dyDescent="0.3">
      <c r="A69" s="10">
        <v>60003</v>
      </c>
      <c r="B69" s="10" t="s">
        <v>155</v>
      </c>
      <c r="C69" s="30" t="s">
        <v>149</v>
      </c>
      <c r="D69" s="33">
        <v>8</v>
      </c>
      <c r="E69"/>
      <c r="F69" s="40">
        <f t="shared" si="8"/>
        <v>8</v>
      </c>
      <c r="G69" s="40">
        <f t="shared" si="12"/>
        <v>4060</v>
      </c>
      <c r="H69" s="40">
        <f t="shared" si="10"/>
        <v>16138.64</v>
      </c>
      <c r="I69" s="11">
        <f t="shared" si="11"/>
        <v>-12078.64</v>
      </c>
      <c r="J69" s="24"/>
      <c r="K69" s="13">
        <f t="shared" si="6"/>
        <v>5.0799999999999999E-4</v>
      </c>
      <c r="L69" s="24"/>
      <c r="M69" s="13">
        <f t="shared" si="7"/>
        <v>2.141E-4</v>
      </c>
    </row>
    <row r="70" spans="1:14" s="14" customFormat="1" x14ac:dyDescent="0.3">
      <c r="A70" s="10">
        <v>60004</v>
      </c>
      <c r="B70" s="10" t="s">
        <v>154</v>
      </c>
      <c r="C70" s="30" t="s">
        <v>148</v>
      </c>
      <c r="D70" s="33">
        <v>47</v>
      </c>
      <c r="E70"/>
      <c r="F70" s="40">
        <f t="shared" si="8"/>
        <v>47</v>
      </c>
      <c r="G70" s="40">
        <f t="shared" si="12"/>
        <v>23852.5</v>
      </c>
      <c r="H70" s="40">
        <f t="shared" si="10"/>
        <v>94814.51</v>
      </c>
      <c r="I70" s="11">
        <f t="shared" si="11"/>
        <v>-70962.009999999995</v>
      </c>
      <c r="J70" s="24"/>
      <c r="K70" s="13">
        <f t="shared" si="6"/>
        <v>2.9843999999999999E-3</v>
      </c>
      <c r="L70" s="24"/>
      <c r="M70" s="13">
        <f t="shared" si="7"/>
        <v>1.2574999999999999E-3</v>
      </c>
    </row>
    <row r="71" spans="1:14" s="14" customFormat="1" x14ac:dyDescent="0.3">
      <c r="A71" s="10">
        <v>60005</v>
      </c>
      <c r="B71" s="10" t="s">
        <v>153</v>
      </c>
      <c r="C71" s="30" t="s">
        <v>147</v>
      </c>
      <c r="D71" s="33">
        <v>5</v>
      </c>
      <c r="E71"/>
      <c r="F71" s="40">
        <f t="shared" ref="F71:F102" si="13">D71+(E71*0.25)</f>
        <v>5</v>
      </c>
      <c r="G71" s="40">
        <f t="shared" si="12"/>
        <v>2537.5</v>
      </c>
      <c r="H71" s="40">
        <f t="shared" si="10"/>
        <v>10086.65</v>
      </c>
      <c r="I71" s="11">
        <f t="shared" ref="I71:I102" si="14">+G71-H71</f>
        <v>-7549.15</v>
      </c>
      <c r="J71" s="24"/>
      <c r="K71" s="13">
        <f t="shared" si="6"/>
        <v>3.1750000000000002E-4</v>
      </c>
      <c r="L71" s="24"/>
      <c r="M71" s="13">
        <f t="shared" si="7"/>
        <v>1.338E-4</v>
      </c>
    </row>
    <row r="72" spans="1:14" x14ac:dyDescent="0.3">
      <c r="B72" s="10"/>
      <c r="D72" s="33"/>
      <c r="F72" s="40" t="s">
        <v>3</v>
      </c>
      <c r="G72" s="40"/>
      <c r="H72" s="40"/>
      <c r="J72" s="24"/>
      <c r="K72" s="13"/>
      <c r="L72" s="24"/>
      <c r="M72" s="13"/>
    </row>
    <row r="73" spans="1:14" x14ac:dyDescent="0.3">
      <c r="B73" s="10"/>
      <c r="F73" s="40"/>
      <c r="G73" s="40"/>
      <c r="H73" s="40"/>
      <c r="J73" s="24"/>
      <c r="K73" s="13"/>
      <c r="L73" s="24"/>
      <c r="M73" s="13"/>
    </row>
    <row r="74" spans="1:14" ht="15" thickBot="1" x14ac:dyDescent="0.35">
      <c r="B74" s="10"/>
      <c r="D74" s="7">
        <f t="shared" ref="D74:I74" si="15">SUM(D7:D71)</f>
        <v>7502</v>
      </c>
      <c r="E74" s="7">
        <f t="shared" si="15"/>
        <v>1677</v>
      </c>
      <c r="F74" s="41">
        <f t="shared" si="15"/>
        <v>7921.25</v>
      </c>
      <c r="G74" s="42">
        <f t="shared" si="15"/>
        <v>7992363.75</v>
      </c>
      <c r="H74" s="42">
        <f t="shared" si="15"/>
        <v>15979775.262499996</v>
      </c>
      <c r="I74" s="8">
        <f t="shared" si="15"/>
        <v>-7987411.512500002</v>
      </c>
      <c r="J74" s="24"/>
      <c r="K74" s="15">
        <f>SUM(K7:K71)</f>
        <v>0.99999999999999944</v>
      </c>
      <c r="L74" s="25"/>
      <c r="M74" s="15">
        <f>SUM(M7:M71)</f>
        <v>0.4213612000000001</v>
      </c>
      <c r="N74" s="38">
        <f>M74-I3</f>
        <v>0</v>
      </c>
    </row>
    <row r="75" spans="1:14" ht="15" thickTop="1" x14ac:dyDescent="0.3">
      <c r="J75" s="24"/>
      <c r="K75" s="13"/>
      <c r="L75" s="24"/>
      <c r="M75" s="13"/>
    </row>
    <row r="76" spans="1:14" x14ac:dyDescent="0.3">
      <c r="J76" s="24"/>
      <c r="K76" s="13"/>
      <c r="L76" s="24"/>
      <c r="M76" s="13"/>
    </row>
    <row r="77" spans="1:14" x14ac:dyDescent="0.3">
      <c r="C77" s="29" t="s">
        <v>22</v>
      </c>
      <c r="D77" s="27">
        <f>+D74-7502</f>
        <v>0</v>
      </c>
      <c r="E77" s="27">
        <f>+E74-1677</f>
        <v>0</v>
      </c>
      <c r="G77" s="5">
        <f>+G74-7992363.75</f>
        <v>0</v>
      </c>
      <c r="H77" s="5">
        <f>+H74-(F74*2017.33)</f>
        <v>0</v>
      </c>
      <c r="I77" s="11">
        <f>-G74+H74+I74</f>
        <v>0</v>
      </c>
    </row>
    <row r="78" spans="1:14" x14ac:dyDescent="0.3">
      <c r="H78" s="28" t="s">
        <v>3</v>
      </c>
    </row>
    <row r="79" spans="1:14" x14ac:dyDescent="0.3">
      <c r="H79" s="5" t="s">
        <v>3</v>
      </c>
    </row>
    <row r="80" spans="1:14" x14ac:dyDescent="0.3">
      <c r="H80" s="5" t="s">
        <v>3</v>
      </c>
    </row>
  </sheetData>
  <sortState xmlns:xlrd2="http://schemas.microsoft.com/office/spreadsheetml/2017/richdata2" ref="A7:M71">
    <sortCondition ref="A7:A71"/>
  </sortState>
  <phoneticPr fontId="9" type="noConversion"/>
  <pageMargins left="0" right="0" top="0.25" bottom="0.25" header="0" footer="0"/>
  <pageSetup scale="79" fitToHeight="2" orientation="landscape" r:id="rId1"/>
  <headerFooter>
    <oddFooter>&amp;LCreated 8/1/2024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3FCF-0CB2-484A-91D9-48C3D346E12F}">
  <dimension ref="A1:I16"/>
  <sheetViews>
    <sheetView workbookViewId="0">
      <selection activeCell="E17" sqref="E17"/>
    </sheetView>
  </sheetViews>
  <sheetFormatPr defaultRowHeight="14.4" x14ac:dyDescent="0.3"/>
  <sheetData>
    <row r="1" spans="1:9" ht="15.6" x14ac:dyDescent="0.3">
      <c r="A1" s="37" t="s">
        <v>76</v>
      </c>
    </row>
    <row r="3" spans="1:9" x14ac:dyDescent="0.3">
      <c r="A3" s="44" t="s">
        <v>77</v>
      </c>
      <c r="B3" s="44"/>
      <c r="C3" s="44"/>
      <c r="D3" s="44"/>
      <c r="E3" s="44"/>
      <c r="F3" s="44"/>
      <c r="G3" s="44"/>
      <c r="H3" s="44"/>
    </row>
    <row r="5" spans="1:9" x14ac:dyDescent="0.3">
      <c r="A5" s="44" t="s">
        <v>78</v>
      </c>
      <c r="B5" s="44"/>
      <c r="C5" s="44"/>
      <c r="D5" s="44"/>
      <c r="E5" s="44"/>
      <c r="F5" s="44"/>
      <c r="G5" s="44"/>
      <c r="H5" s="44"/>
      <c r="I5" s="44"/>
    </row>
    <row r="7" spans="1:9" x14ac:dyDescent="0.3">
      <c r="A7" s="44" t="s">
        <v>81</v>
      </c>
      <c r="B7" s="44"/>
      <c r="C7" s="44"/>
      <c r="D7" s="44"/>
      <c r="E7" s="44"/>
    </row>
    <row r="8" spans="1:9" x14ac:dyDescent="0.3">
      <c r="A8" s="30"/>
      <c r="B8" s="30"/>
      <c r="C8" s="30"/>
      <c r="D8" s="30"/>
      <c r="E8" s="30"/>
    </row>
    <row r="9" spans="1:9" x14ac:dyDescent="0.3">
      <c r="A9" t="s">
        <v>79</v>
      </c>
    </row>
    <row r="11" spans="1:9" x14ac:dyDescent="0.3">
      <c r="A11" s="44" t="s">
        <v>80</v>
      </c>
      <c r="B11" s="44"/>
      <c r="C11" s="44"/>
      <c r="D11" s="44"/>
      <c r="E11" s="44"/>
    </row>
    <row r="14" spans="1:9" x14ac:dyDescent="0.3">
      <c r="B14" t="s">
        <v>74</v>
      </c>
    </row>
    <row r="15" spans="1:9" x14ac:dyDescent="0.3">
      <c r="A15" t="s">
        <v>75</v>
      </c>
      <c r="B15">
        <v>722.55</v>
      </c>
    </row>
    <row r="16" spans="1:9" x14ac:dyDescent="0.3">
      <c r="A16" t="s">
        <v>20</v>
      </c>
      <c r="B16">
        <v>180.64</v>
      </c>
    </row>
  </sheetData>
  <mergeCells count="4">
    <mergeCell ref="A3:H3"/>
    <mergeCell ref="A5:I5"/>
    <mergeCell ref="A7:E7"/>
    <mergeCell ref="A11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Political</vt:lpstr>
      <vt:lpstr>Notes</vt:lpstr>
      <vt:lpstr>Political!Print_Area</vt:lpstr>
      <vt:lpstr>Political!Print_Titles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Line of Duty Contributions Required and Paid - Political Subdivisions</dc:title>
  <dc:creator>Virginia Retirement System</dc:creator>
  <cp:lastPrinted>2024-08-27T19:16:58Z</cp:lastPrinted>
  <dcterms:created xsi:type="dcterms:W3CDTF">2012-09-10T14:31:20Z</dcterms:created>
  <dcterms:modified xsi:type="dcterms:W3CDTF">2026-08-06T21:42:33Z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0180-6382-AF5E-F116</vt:lpwstr>
  </property>
</Properties>
</file>